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rrazzo\Desktop\Progetto definitivo\"/>
    </mc:Choice>
  </mc:AlternateContent>
  <bookViews>
    <workbookView xWindow="285" yWindow="30" windowWidth="8535" windowHeight="1830" firstSheet="1" activeTab="2"/>
  </bookViews>
  <sheets>
    <sheet name="carichi unitari" sheetId="1" r:id="rId1"/>
    <sheet name="masse e forze" sheetId="2" r:id="rId2"/>
    <sheet name="car.sollecitazione" sheetId="3" r:id="rId3"/>
    <sheet name="rigidezze" sheetId="4" r:id="rId4"/>
    <sheet name="bilanc.rigidezze I" sheetId="5" r:id="rId5"/>
    <sheet name="bilanc.rigid piano interrato" sheetId="6" r:id="rId6"/>
    <sheet name="bilanci rigi IV impalcato" sheetId="7" r:id="rId7"/>
    <sheet name="Centro di rigidezza" sheetId="8" r:id="rId8"/>
    <sheet name="masse e forze direzione x" sheetId="9" r:id="rId9"/>
    <sheet name="car.sollecitazione  direzione x" sheetId="10" r:id="rId10"/>
    <sheet name="masse e forze direzione y" sheetId="11" r:id="rId11"/>
    <sheet name="car.sollecitazione direzione y" sheetId="12" r:id="rId12"/>
    <sheet name="Confronti" sheetId="13" r:id="rId13"/>
    <sheet name="Confronti rigidezze telai x" sheetId="14" r:id="rId14"/>
    <sheet name="Confronto rigidezze telai y" sheetId="15" r:id="rId15"/>
    <sheet name="carichi unitari 2" sheetId="16" r:id="rId16"/>
    <sheet name="masse precise" sheetId="17" r:id="rId17"/>
    <sheet name="carichi su travi 1 impalcato" sheetId="18" r:id="rId18"/>
    <sheet name="Riepilogo carichi primo impalca" sheetId="19" r:id="rId19"/>
    <sheet name="  carichi piano tipo" sheetId="20" r:id="rId20"/>
    <sheet name="Riepilogo carichi primo " sheetId="21" r:id="rId21"/>
    <sheet name="carichi su travi utimo" sheetId="23" r:id="rId22"/>
    <sheet name="Riepilogo carichi tetto" sheetId="24" r:id="rId23"/>
  </sheets>
  <externalReferences>
    <externalReference r:id="rId24"/>
  </externalReferences>
  <calcPr calcId="152511"/>
</workbook>
</file>

<file path=xl/calcChain.xml><?xml version="1.0" encoding="utf-8"?>
<calcChain xmlns="http://schemas.openxmlformats.org/spreadsheetml/2006/main">
  <c r="B62" i="20" l="1"/>
  <c r="B5" i="20"/>
  <c r="B110" i="18"/>
  <c r="B103" i="18"/>
  <c r="B75" i="18"/>
  <c r="B48" i="18"/>
  <c r="B4" i="18"/>
  <c r="B12" i="16" l="1"/>
  <c r="E12" i="16" s="1"/>
  <c r="C12" i="16"/>
  <c r="C11" i="16"/>
  <c r="C22" i="17"/>
  <c r="D106" i="23" l="1"/>
  <c r="D104" i="23"/>
  <c r="B104" i="23"/>
  <c r="D77" i="23"/>
  <c r="D76" i="23"/>
  <c r="B76" i="23"/>
  <c r="D111" i="23"/>
  <c r="D51" i="23"/>
  <c r="B50" i="23"/>
  <c r="D49" i="23"/>
  <c r="D4" i="23"/>
  <c r="B4" i="23"/>
  <c r="D6" i="23"/>
  <c r="B5" i="23"/>
  <c r="B112" i="23"/>
  <c r="B71" i="23"/>
  <c r="B77" i="23" s="1"/>
  <c r="B105" i="23" s="1"/>
  <c r="B65" i="23"/>
  <c r="B58" i="23"/>
  <c r="B84" i="23"/>
  <c r="B26" i="23"/>
  <c r="B12" i="23"/>
  <c r="C25" i="17"/>
  <c r="E4" i="23" l="1"/>
  <c r="F4" i="23"/>
  <c r="D12" i="16" l="1"/>
  <c r="E112" i="23"/>
  <c r="E105" i="23"/>
  <c r="F104" i="23"/>
  <c r="H103" i="23"/>
  <c r="D103" i="23" s="1"/>
  <c r="C103" i="23"/>
  <c r="C84" i="23"/>
  <c r="H83" i="23"/>
  <c r="D83" i="23" s="1"/>
  <c r="C83" i="23"/>
  <c r="D82" i="23"/>
  <c r="C82" i="23"/>
  <c r="E77" i="23"/>
  <c r="F76" i="23"/>
  <c r="D75" i="23"/>
  <c r="C75" i="23"/>
  <c r="C71" i="23"/>
  <c r="H70" i="23"/>
  <c r="D70" i="23" s="1"/>
  <c r="C65" i="23"/>
  <c r="H64" i="23"/>
  <c r="H69" i="23" s="1"/>
  <c r="C64" i="23"/>
  <c r="C58" i="23"/>
  <c r="H57" i="23"/>
  <c r="H63" i="23" s="1"/>
  <c r="F50" i="23"/>
  <c r="H48" i="23"/>
  <c r="C48" i="23"/>
  <c r="D24" i="23"/>
  <c r="D25" i="23" s="1"/>
  <c r="C24" i="23"/>
  <c r="C25" i="23" s="1"/>
  <c r="D17" i="23"/>
  <c r="D18" i="23" s="1"/>
  <c r="C17" i="23"/>
  <c r="C18" i="23" s="1"/>
  <c r="B19" i="23"/>
  <c r="D10" i="23"/>
  <c r="C10" i="23"/>
  <c r="F5" i="23"/>
  <c r="D3" i="23"/>
  <c r="C3" i="23"/>
  <c r="D41" i="18"/>
  <c r="C41" i="18"/>
  <c r="D40" i="18"/>
  <c r="C40" i="18"/>
  <c r="B42" i="18"/>
  <c r="F42" i="18" s="1"/>
  <c r="B41" i="18"/>
  <c r="E41" i="18" s="1"/>
  <c r="D96" i="18"/>
  <c r="B97" i="18"/>
  <c r="E97" i="18" s="1"/>
  <c r="B96" i="18"/>
  <c r="F96" i="18" s="1"/>
  <c r="D95" i="18"/>
  <c r="C95" i="18"/>
  <c r="H89" i="18"/>
  <c r="D89" i="18" s="1"/>
  <c r="H88" i="18"/>
  <c r="D88" i="18"/>
  <c r="C88" i="18"/>
  <c r="B90" i="18"/>
  <c r="E90" i="18" s="1"/>
  <c r="D31" i="18"/>
  <c r="B31" i="18"/>
  <c r="F31" i="18" s="1"/>
  <c r="D30" i="18"/>
  <c r="C30" i="18"/>
  <c r="B32" i="18"/>
  <c r="E32" i="18" s="1"/>
  <c r="B111" i="18"/>
  <c r="F111" i="18" s="1"/>
  <c r="F110" i="18"/>
  <c r="E14" i="16"/>
  <c r="D14" i="16"/>
  <c r="E13" i="16"/>
  <c r="D13" i="16"/>
  <c r="F112" i="18" l="1"/>
  <c r="D17" i="19" s="1"/>
  <c r="D21" i="21" s="1"/>
  <c r="C57" i="23"/>
  <c r="C70" i="23"/>
  <c r="H56" i="23"/>
  <c r="C56" i="23" s="1"/>
  <c r="B49" i="23"/>
  <c r="E49" i="23" s="1"/>
  <c r="F32" i="18"/>
  <c r="F90" i="18"/>
  <c r="E96" i="18"/>
  <c r="F41" i="18"/>
  <c r="D48" i="23"/>
  <c r="D64" i="23"/>
  <c r="D57" i="23"/>
  <c r="E104" i="23"/>
  <c r="E110" i="18"/>
  <c r="E31" i="18"/>
  <c r="F97" i="18"/>
  <c r="E42" i="18"/>
  <c r="E111" i="18"/>
  <c r="F58" i="23"/>
  <c r="F65" i="23"/>
  <c r="F71" i="23"/>
  <c r="F84" i="23"/>
  <c r="F19" i="23"/>
  <c r="E19" i="23"/>
  <c r="D56" i="23"/>
  <c r="C63" i="23"/>
  <c r="D63" i="23"/>
  <c r="C69" i="23"/>
  <c r="D69" i="23"/>
  <c r="E5" i="23"/>
  <c r="F12" i="23"/>
  <c r="F49" i="23"/>
  <c r="E50" i="23"/>
  <c r="E58" i="23"/>
  <c r="E65" i="23"/>
  <c r="E71" i="23"/>
  <c r="E76" i="23"/>
  <c r="F77" i="23"/>
  <c r="E84" i="23"/>
  <c r="F105" i="23"/>
  <c r="F112" i="23"/>
  <c r="E12" i="23"/>
  <c r="C89" i="18"/>
  <c r="B63" i="20"/>
  <c r="F63" i="20" s="1"/>
  <c r="F62" i="20"/>
  <c r="D61" i="20"/>
  <c r="C61" i="20"/>
  <c r="D60" i="20"/>
  <c r="C60" i="20"/>
  <c r="D54" i="20"/>
  <c r="D53" i="20"/>
  <c r="C54" i="20"/>
  <c r="C53" i="20"/>
  <c r="D48" i="20"/>
  <c r="D47" i="20"/>
  <c r="C47" i="20"/>
  <c r="D39" i="20"/>
  <c r="C39" i="20"/>
  <c r="D31" i="20"/>
  <c r="D40" i="20" s="1"/>
  <c r="D30" i="20"/>
  <c r="C30" i="20"/>
  <c r="B25" i="20"/>
  <c r="B32" i="20" s="1"/>
  <c r="D16" i="20"/>
  <c r="D23" i="20" s="1"/>
  <c r="C16" i="20"/>
  <c r="B18" i="20"/>
  <c r="B11" i="20"/>
  <c r="C10" i="20"/>
  <c r="B6" i="20"/>
  <c r="E6" i="20" s="1"/>
  <c r="E12" i="20" s="1"/>
  <c r="F5" i="20"/>
  <c r="F11" i="20" s="1"/>
  <c r="E5" i="20"/>
  <c r="E11" i="20" s="1"/>
  <c r="D4" i="20"/>
  <c r="D10" i="20" s="1"/>
  <c r="D3" i="20"/>
  <c r="D9" i="20" s="1"/>
  <c r="C3" i="20"/>
  <c r="D79" i="13"/>
  <c r="I7" i="8"/>
  <c r="I8" i="8"/>
  <c r="I6" i="8"/>
  <c r="E112" i="18" l="1"/>
  <c r="C17" i="19" s="1"/>
  <c r="C21" i="21" s="1"/>
  <c r="C9" i="20"/>
  <c r="B41" i="20"/>
  <c r="F32" i="20"/>
  <c r="E32" i="20"/>
  <c r="F18" i="20"/>
  <c r="E18" i="20"/>
  <c r="F6" i="20"/>
  <c r="F12" i="20" s="1"/>
  <c r="B12" i="20"/>
  <c r="B19" i="20"/>
  <c r="C23" i="20"/>
  <c r="E62" i="20"/>
  <c r="D17" i="20"/>
  <c r="D24" i="20"/>
  <c r="E25" i="20"/>
  <c r="F25" i="20"/>
  <c r="E63" i="20"/>
  <c r="E26" i="23"/>
  <c r="F26" i="23"/>
  <c r="G9" i="8"/>
  <c r="H9" i="8"/>
  <c r="B26" i="20" l="1"/>
  <c r="E19" i="20"/>
  <c r="F19" i="20"/>
  <c r="B49" i="20"/>
  <c r="E41" i="20"/>
  <c r="F41" i="20"/>
  <c r="C124" i="13"/>
  <c r="C125" i="13"/>
  <c r="C126" i="13"/>
  <c r="C127" i="13"/>
  <c r="C128" i="13"/>
  <c r="C123" i="13"/>
  <c r="C114" i="13"/>
  <c r="D111" i="13"/>
  <c r="C115" i="13" s="1"/>
  <c r="H102" i="18"/>
  <c r="D102" i="18" s="1"/>
  <c r="B104" i="18"/>
  <c r="F104" i="18" s="1"/>
  <c r="E103" i="18"/>
  <c r="C102" i="18" l="1"/>
  <c r="C116" i="13"/>
  <c r="C118" i="13"/>
  <c r="B55" i="20"/>
  <c r="F49" i="20"/>
  <c r="E49" i="20"/>
  <c r="F26" i="20"/>
  <c r="B33" i="20"/>
  <c r="E26" i="20"/>
  <c r="C119" i="13"/>
  <c r="C117" i="13"/>
  <c r="E104" i="18"/>
  <c r="F103" i="18"/>
  <c r="B83" i="18"/>
  <c r="C83" i="18"/>
  <c r="H82" i="18"/>
  <c r="D82" i="18" s="1"/>
  <c r="D81" i="18"/>
  <c r="C81" i="18"/>
  <c r="B76" i="18"/>
  <c r="F76" i="18" s="1"/>
  <c r="E75" i="18"/>
  <c r="D74" i="18"/>
  <c r="C74" i="18"/>
  <c r="H69" i="18"/>
  <c r="D69" i="18" s="1"/>
  <c r="C70" i="18"/>
  <c r="B70" i="18"/>
  <c r="E70" i="18" s="1"/>
  <c r="C69" i="18"/>
  <c r="H63" i="18"/>
  <c r="C63" i="18" s="1"/>
  <c r="C64" i="18"/>
  <c r="B64" i="18"/>
  <c r="D63" i="18"/>
  <c r="H56" i="18"/>
  <c r="H62" i="18" s="1"/>
  <c r="D62" i="18" s="1"/>
  <c r="B57" i="18"/>
  <c r="C57" i="18"/>
  <c r="E57" i="18" s="1"/>
  <c r="B49" i="18"/>
  <c r="E49" i="18" s="1"/>
  <c r="E48" i="18"/>
  <c r="F49" i="18"/>
  <c r="F48" i="18"/>
  <c r="H47" i="18"/>
  <c r="H55" i="18" s="1"/>
  <c r="D23" i="18"/>
  <c r="D24" i="18" s="1"/>
  <c r="C23" i="18"/>
  <c r="C24" i="18" s="1"/>
  <c r="D16" i="18"/>
  <c r="D17" i="18" s="1"/>
  <c r="C16" i="18"/>
  <c r="C17" i="18" s="1"/>
  <c r="D9" i="18"/>
  <c r="C9" i="18"/>
  <c r="D3" i="18"/>
  <c r="C3" i="18"/>
  <c r="B11" i="18"/>
  <c r="E11" i="18" s="1"/>
  <c r="F4" i="18"/>
  <c r="B5" i="18"/>
  <c r="F5" i="18" s="1"/>
  <c r="E38" i="17"/>
  <c r="E42" i="17" s="1"/>
  <c r="C31" i="17"/>
  <c r="D37" i="17" s="1"/>
  <c r="B24" i="17"/>
  <c r="C24" i="17" s="1"/>
  <c r="B23" i="17"/>
  <c r="C23" i="17" s="1"/>
  <c r="B11" i="16"/>
  <c r="H14" i="17"/>
  <c r="C14" i="17"/>
  <c r="D38" i="17" s="1"/>
  <c r="G6" i="17"/>
  <c r="G5" i="17"/>
  <c r="G4" i="17"/>
  <c r="G3" i="17"/>
  <c r="B8" i="17"/>
  <c r="D10" i="16"/>
  <c r="E10" i="16"/>
  <c r="C4" i="17"/>
  <c r="H3" i="17" s="1"/>
  <c r="B2" i="17"/>
  <c r="B21" i="17" s="1"/>
  <c r="C21" i="17" s="1"/>
  <c r="B9" i="17"/>
  <c r="E9" i="16"/>
  <c r="C7" i="17" s="1"/>
  <c r="H6" i="17" s="1"/>
  <c r="D9" i="16"/>
  <c r="E8" i="16"/>
  <c r="C5" i="17" s="1"/>
  <c r="D8" i="16"/>
  <c r="E7" i="16"/>
  <c r="C6" i="17" s="1"/>
  <c r="H5" i="17" s="1"/>
  <c r="D7" i="16"/>
  <c r="E6" i="16"/>
  <c r="D6" i="16"/>
  <c r="D5" i="16"/>
  <c r="B4" i="16"/>
  <c r="D4" i="16" s="1"/>
  <c r="C2" i="16"/>
  <c r="B2" i="16"/>
  <c r="D2" i="16" l="1"/>
  <c r="F57" i="18"/>
  <c r="C56" i="18"/>
  <c r="C82" i="18"/>
  <c r="E83" i="18"/>
  <c r="B103" i="23"/>
  <c r="B82" i="23"/>
  <c r="B70" i="23"/>
  <c r="B64" i="23"/>
  <c r="B57" i="23"/>
  <c r="B48" i="23"/>
  <c r="B17" i="23"/>
  <c r="B11" i="23"/>
  <c r="B95" i="18"/>
  <c r="B89" i="18"/>
  <c r="B83" i="23"/>
  <c r="B75" i="23"/>
  <c r="B24" i="23"/>
  <c r="B10" i="23"/>
  <c r="B3" i="23"/>
  <c r="B40" i="18"/>
  <c r="B30" i="18"/>
  <c r="B88" i="18"/>
  <c r="B56" i="23"/>
  <c r="B69" i="23"/>
  <c r="B60" i="20"/>
  <c r="B53" i="20"/>
  <c r="B3" i="20"/>
  <c r="B63" i="23"/>
  <c r="E4" i="16"/>
  <c r="C3" i="17" s="1"/>
  <c r="B48" i="20"/>
  <c r="B40" i="20"/>
  <c r="B17" i="20"/>
  <c r="B61" i="20"/>
  <c r="B54" i="20"/>
  <c r="B31" i="20"/>
  <c r="B4" i="20"/>
  <c r="D11" i="16"/>
  <c r="B106" i="23"/>
  <c r="B111" i="23"/>
  <c r="B78" i="23"/>
  <c r="B51" i="23"/>
  <c r="B6" i="23"/>
  <c r="C8" i="17"/>
  <c r="H7" i="17" s="1"/>
  <c r="D56" i="18"/>
  <c r="H68" i="18"/>
  <c r="B68" i="18" s="1"/>
  <c r="G7" i="17"/>
  <c r="G8" i="17"/>
  <c r="B26" i="17"/>
  <c r="C9" i="17"/>
  <c r="C26" i="17" s="1"/>
  <c r="C29" i="17" s="1"/>
  <c r="C30" i="17" s="1"/>
  <c r="B42" i="20"/>
  <c r="E33" i="20"/>
  <c r="F33" i="20"/>
  <c r="F55" i="20"/>
  <c r="E55" i="20"/>
  <c r="H8" i="17"/>
  <c r="B25" i="18"/>
  <c r="F25" i="18" s="1"/>
  <c r="E64" i="18"/>
  <c r="H4" i="17"/>
  <c r="C55" i="18"/>
  <c r="D55" i="18"/>
  <c r="E2" i="16"/>
  <c r="B102" i="18"/>
  <c r="G2" i="17"/>
  <c r="E39" i="17"/>
  <c r="E40" i="17"/>
  <c r="B9" i="18"/>
  <c r="E9" i="18" s="1"/>
  <c r="B47" i="18"/>
  <c r="D47" i="18"/>
  <c r="C62" i="18"/>
  <c r="B69" i="18"/>
  <c r="F69" i="18" s="1"/>
  <c r="E76" i="18"/>
  <c r="B82" i="18"/>
  <c r="E41" i="17"/>
  <c r="B3" i="18"/>
  <c r="F3" i="18" s="1"/>
  <c r="F6" i="18" s="1"/>
  <c r="B10" i="18"/>
  <c r="E10" i="18" s="1"/>
  <c r="B16" i="18"/>
  <c r="F16" i="18" s="1"/>
  <c r="B23" i="18"/>
  <c r="C47" i="18"/>
  <c r="B63" i="18"/>
  <c r="F63" i="18" s="1"/>
  <c r="B74" i="18"/>
  <c r="E74" i="18" s="1"/>
  <c r="E78" i="18" s="1"/>
  <c r="B81" i="18"/>
  <c r="F81" i="18" s="1"/>
  <c r="E82" i="18"/>
  <c r="F83" i="18"/>
  <c r="F75" i="18"/>
  <c r="F70" i="18"/>
  <c r="B62" i="18"/>
  <c r="F62" i="18" s="1"/>
  <c r="F64" i="18"/>
  <c r="B56" i="18"/>
  <c r="B55" i="18"/>
  <c r="E3" i="18"/>
  <c r="E5" i="18"/>
  <c r="F11" i="18"/>
  <c r="B18" i="18"/>
  <c r="E4" i="18"/>
  <c r="B3" i="16"/>
  <c r="D75" i="13"/>
  <c r="D76" i="13"/>
  <c r="D77" i="13"/>
  <c r="D78" i="13"/>
  <c r="D74" i="13"/>
  <c r="D69" i="13"/>
  <c r="D68" i="13"/>
  <c r="D67" i="13"/>
  <c r="D66" i="13"/>
  <c r="D65" i="13"/>
  <c r="D64" i="13"/>
  <c r="G61" i="6"/>
  <c r="E66" i="6"/>
  <c r="E71" i="6"/>
  <c r="C71" i="6"/>
  <c r="C76" i="6"/>
  <c r="K76" i="6" s="1"/>
  <c r="C37" i="6"/>
  <c r="C37" i="7"/>
  <c r="G22" i="7" s="1"/>
  <c r="C76" i="7"/>
  <c r="K19" i="7"/>
  <c r="G48" i="5"/>
  <c r="K48" i="5" s="1"/>
  <c r="G61" i="5"/>
  <c r="I58" i="5" s="1"/>
  <c r="E71" i="5"/>
  <c r="C66" i="5"/>
  <c r="C71" i="5"/>
  <c r="K53" i="5" s="1"/>
  <c r="C76" i="5"/>
  <c r="K76" i="5" s="1"/>
  <c r="E37" i="7"/>
  <c r="I9" i="7" s="1"/>
  <c r="H6" i="8"/>
  <c r="H7" i="8"/>
  <c r="H8" i="8"/>
  <c r="H5" i="8"/>
  <c r="K9" i="6"/>
  <c r="K19" i="6"/>
  <c r="G22" i="6"/>
  <c r="C22" i="6"/>
  <c r="G9" i="6" s="1"/>
  <c r="K37" i="6"/>
  <c r="E37" i="6"/>
  <c r="I9" i="6" s="1"/>
  <c r="C37" i="5"/>
  <c r="K37" i="5" s="1"/>
  <c r="D6" i="4"/>
  <c r="E37" i="5" s="1"/>
  <c r="C22" i="7" l="1"/>
  <c r="K9" i="7" s="1"/>
  <c r="F10" i="18"/>
  <c r="F9" i="18"/>
  <c r="E63" i="18"/>
  <c r="F82" i="18"/>
  <c r="E25" i="18"/>
  <c r="C68" i="18"/>
  <c r="D68" i="18"/>
  <c r="E51" i="23"/>
  <c r="F51" i="23"/>
  <c r="F111" i="23"/>
  <c r="F113" i="23" s="1"/>
  <c r="D21" i="24" s="1"/>
  <c r="E111" i="23"/>
  <c r="E113" i="23" s="1"/>
  <c r="C21" i="24" s="1"/>
  <c r="F31" i="20"/>
  <c r="E31" i="20"/>
  <c r="E61" i="20"/>
  <c r="F61" i="20"/>
  <c r="F40" i="20"/>
  <c r="E40" i="20"/>
  <c r="B9" i="20"/>
  <c r="F3" i="20"/>
  <c r="E3" i="20"/>
  <c r="E60" i="20"/>
  <c r="E64" i="20" s="1"/>
  <c r="C28" i="21" s="1"/>
  <c r="F60" i="20"/>
  <c r="E56" i="23"/>
  <c r="F56" i="23"/>
  <c r="F30" i="18"/>
  <c r="F33" i="18" s="1"/>
  <c r="D8" i="19" s="1"/>
  <c r="D11" i="21" s="1"/>
  <c r="E30" i="18"/>
  <c r="E33" i="18" s="1"/>
  <c r="C8" i="19" s="1"/>
  <c r="C11" i="21" s="1"/>
  <c r="F3" i="23"/>
  <c r="E3" i="23"/>
  <c r="B25" i="23"/>
  <c r="F24" i="23"/>
  <c r="E24" i="23"/>
  <c r="F83" i="23"/>
  <c r="E83" i="23"/>
  <c r="F95" i="18"/>
  <c r="F98" i="18" s="1"/>
  <c r="D16" i="19" s="1"/>
  <c r="D20" i="21" s="1"/>
  <c r="E95" i="18"/>
  <c r="E98" i="18" s="1"/>
  <c r="C16" i="19" s="1"/>
  <c r="C20" i="21" s="1"/>
  <c r="F17" i="23"/>
  <c r="E17" i="23"/>
  <c r="B18" i="23"/>
  <c r="E57" i="23"/>
  <c r="F57" i="23"/>
  <c r="E70" i="23"/>
  <c r="F70" i="23"/>
  <c r="F103" i="23"/>
  <c r="E103" i="23"/>
  <c r="K66" i="5"/>
  <c r="G58" i="5"/>
  <c r="B30" i="20"/>
  <c r="B47" i="20"/>
  <c r="B39" i="20"/>
  <c r="B16" i="20"/>
  <c r="E6" i="23"/>
  <c r="F6" i="23"/>
  <c r="F106" i="23"/>
  <c r="E106" i="23"/>
  <c r="B24" i="20"/>
  <c r="B10" i="20"/>
  <c r="F4" i="20"/>
  <c r="F7" i="20" s="1"/>
  <c r="E4" i="20"/>
  <c r="E7" i="20" s="1"/>
  <c r="C3" i="21" s="1"/>
  <c r="F54" i="20"/>
  <c r="E54" i="20"/>
  <c r="F17" i="20"/>
  <c r="E17" i="20"/>
  <c r="E48" i="20"/>
  <c r="F48" i="20"/>
  <c r="E63" i="23"/>
  <c r="F63" i="23"/>
  <c r="F53" i="20"/>
  <c r="E53" i="20"/>
  <c r="E69" i="23"/>
  <c r="E72" i="23" s="1"/>
  <c r="C24" i="24" s="1"/>
  <c r="C25" i="24" s="1"/>
  <c r="F69" i="23"/>
  <c r="F72" i="23" s="1"/>
  <c r="D24" i="24" s="1"/>
  <c r="D25" i="24" s="1"/>
  <c r="F88" i="18"/>
  <c r="E88" i="18"/>
  <c r="E40" i="18"/>
  <c r="E43" i="18" s="1"/>
  <c r="C5" i="19" s="1"/>
  <c r="C7" i="21" s="1"/>
  <c r="F40" i="18"/>
  <c r="F43" i="18" s="1"/>
  <c r="D5" i="19" s="1"/>
  <c r="D7" i="21" s="1"/>
  <c r="E10" i="23"/>
  <c r="F10" i="23"/>
  <c r="E75" i="23"/>
  <c r="E79" i="23" s="1"/>
  <c r="C26" i="24" s="1"/>
  <c r="C27" i="24" s="1"/>
  <c r="C28" i="24" s="1"/>
  <c r="F75" i="23"/>
  <c r="F79" i="23" s="1"/>
  <c r="D26" i="24" s="1"/>
  <c r="D27" i="24" s="1"/>
  <c r="D28" i="24" s="1"/>
  <c r="E89" i="18"/>
  <c r="F89" i="18"/>
  <c r="F11" i="23"/>
  <c r="E11" i="23"/>
  <c r="E48" i="23"/>
  <c r="E52" i="23" s="1"/>
  <c r="C16" i="24" s="1"/>
  <c r="F48" i="23"/>
  <c r="E64" i="23"/>
  <c r="F64" i="23"/>
  <c r="F82" i="23"/>
  <c r="E82" i="23"/>
  <c r="I71" i="5"/>
  <c r="I53" i="5"/>
  <c r="F68" i="18"/>
  <c r="F71" i="18" s="1"/>
  <c r="F42" i="20"/>
  <c r="B50" i="20"/>
  <c r="E42" i="20"/>
  <c r="D14" i="21"/>
  <c r="D2" i="21"/>
  <c r="C21" i="19"/>
  <c r="C26" i="21"/>
  <c r="G37" i="7"/>
  <c r="I37" i="7" s="1"/>
  <c r="G66" i="5"/>
  <c r="K58" i="5"/>
  <c r="E69" i="18"/>
  <c r="F84" i="18"/>
  <c r="E81" i="18"/>
  <c r="E84" i="18" s="1"/>
  <c r="E47" i="18"/>
  <c r="E51" i="18" s="1"/>
  <c r="E12" i="18"/>
  <c r="C10" i="19" s="1"/>
  <c r="E22" i="5"/>
  <c r="G37" i="5"/>
  <c r="I37" i="5" s="1"/>
  <c r="C4" i="19"/>
  <c r="C3" i="19"/>
  <c r="E18" i="18"/>
  <c r="F18" i="18"/>
  <c r="B17" i="18"/>
  <c r="E16" i="18"/>
  <c r="D11" i="19"/>
  <c r="D7" i="19"/>
  <c r="D2" i="19"/>
  <c r="C22" i="5"/>
  <c r="G22" i="5"/>
  <c r="G37" i="6"/>
  <c r="I37" i="6" s="1"/>
  <c r="E22" i="6"/>
  <c r="I19" i="6" s="1"/>
  <c r="G19" i="6"/>
  <c r="E22" i="7"/>
  <c r="I19" i="7"/>
  <c r="C61" i="5"/>
  <c r="G71" i="5"/>
  <c r="K71" i="5"/>
  <c r="I66" i="5"/>
  <c r="G53" i="5"/>
  <c r="E76" i="5"/>
  <c r="I76" i="5"/>
  <c r="I48" i="5"/>
  <c r="E76" i="6"/>
  <c r="I76" i="6"/>
  <c r="E6" i="18"/>
  <c r="F74" i="18"/>
  <c r="F47" i="18"/>
  <c r="F51" i="18" s="1"/>
  <c r="F23" i="18"/>
  <c r="E23" i="18"/>
  <c r="B24" i="18"/>
  <c r="E102" i="18"/>
  <c r="E106" i="18" s="1"/>
  <c r="C18" i="19" s="1"/>
  <c r="F102" i="18"/>
  <c r="F106" i="18" s="1"/>
  <c r="D18" i="19" s="1"/>
  <c r="G76" i="5"/>
  <c r="G76" i="6"/>
  <c r="F78" i="18"/>
  <c r="F65" i="18"/>
  <c r="E62" i="18"/>
  <c r="E55" i="18"/>
  <c r="F55" i="18"/>
  <c r="E56" i="18"/>
  <c r="F56" i="18"/>
  <c r="F12" i="18"/>
  <c r="D3" i="16"/>
  <c r="E3" i="16"/>
  <c r="K37" i="7"/>
  <c r="G19" i="7"/>
  <c r="G9" i="7"/>
  <c r="G43" i="13"/>
  <c r="F43" i="13"/>
  <c r="E43" i="13"/>
  <c r="E65" i="18" l="1"/>
  <c r="E85" i="23"/>
  <c r="C18" i="24" s="1"/>
  <c r="F52" i="23"/>
  <c r="D16" i="24" s="1"/>
  <c r="F91" i="18"/>
  <c r="D20" i="19" s="1"/>
  <c r="D25" i="21" s="1"/>
  <c r="F64" i="20"/>
  <c r="D28" i="21" s="1"/>
  <c r="D3" i="21"/>
  <c r="D4" i="21"/>
  <c r="E24" i="20"/>
  <c r="F24" i="20"/>
  <c r="F39" i="20"/>
  <c r="E39" i="20"/>
  <c r="E43" i="20" s="1"/>
  <c r="C22" i="21" s="1"/>
  <c r="E30" i="20"/>
  <c r="E35" i="20" s="1"/>
  <c r="C23" i="21" s="1"/>
  <c r="F30" i="20"/>
  <c r="F35" i="20" s="1"/>
  <c r="D23" i="21" s="1"/>
  <c r="E18" i="23"/>
  <c r="E21" i="23" s="1"/>
  <c r="C7" i="24" s="1"/>
  <c r="F18" i="23"/>
  <c r="F21" i="23" s="1"/>
  <c r="D7" i="24" s="1"/>
  <c r="E9" i="20"/>
  <c r="F9" i="20"/>
  <c r="F43" i="20"/>
  <c r="D22" i="21" s="1"/>
  <c r="E13" i="23"/>
  <c r="E66" i="23"/>
  <c r="C19" i="24" s="1"/>
  <c r="E107" i="23"/>
  <c r="C22" i="24" s="1"/>
  <c r="C23" i="24" s="1"/>
  <c r="F85" i="23"/>
  <c r="D18" i="24" s="1"/>
  <c r="E7" i="23"/>
  <c r="F59" i="23"/>
  <c r="D17" i="24" s="1"/>
  <c r="E68" i="18"/>
  <c r="E71" i="18" s="1"/>
  <c r="C24" i="21" s="1"/>
  <c r="F10" i="20"/>
  <c r="E10" i="20"/>
  <c r="B23" i="20"/>
  <c r="F16" i="20"/>
  <c r="F21" i="20" s="1"/>
  <c r="D9" i="21" s="1"/>
  <c r="E16" i="20"/>
  <c r="E21" i="20" s="1"/>
  <c r="C9" i="21" s="1"/>
  <c r="E47" i="20"/>
  <c r="F47" i="20"/>
  <c r="F25" i="23"/>
  <c r="F27" i="23" s="1"/>
  <c r="D11" i="24" s="1"/>
  <c r="E25" i="23"/>
  <c r="F13" i="23"/>
  <c r="E91" i="18"/>
  <c r="C20" i="19" s="1"/>
  <c r="C25" i="21" s="1"/>
  <c r="F66" i="23"/>
  <c r="D19" i="24" s="1"/>
  <c r="F107" i="23"/>
  <c r="D22" i="24" s="1"/>
  <c r="D23" i="24" s="1"/>
  <c r="E27" i="23"/>
  <c r="C11" i="24" s="1"/>
  <c r="F7" i="23"/>
  <c r="E59" i="23"/>
  <c r="C17" i="24" s="1"/>
  <c r="C15" i="19"/>
  <c r="C19" i="21"/>
  <c r="C19" i="19"/>
  <c r="D12" i="19"/>
  <c r="D16" i="21"/>
  <c r="C14" i="21"/>
  <c r="C2" i="21"/>
  <c r="C12" i="19"/>
  <c r="C16" i="21"/>
  <c r="D14" i="19"/>
  <c r="D18" i="21"/>
  <c r="D21" i="19"/>
  <c r="D26" i="21"/>
  <c r="D13" i="21"/>
  <c r="D6" i="21"/>
  <c r="D5" i="21"/>
  <c r="D15" i="19"/>
  <c r="D19" i="21"/>
  <c r="D19" i="19"/>
  <c r="D24" i="21"/>
  <c r="C13" i="21"/>
  <c r="C6" i="21"/>
  <c r="C5" i="21"/>
  <c r="C14" i="19"/>
  <c r="C18" i="21"/>
  <c r="F50" i="20"/>
  <c r="F51" i="20" s="1"/>
  <c r="D15" i="21" s="1"/>
  <c r="E50" i="20"/>
  <c r="E51" i="20" s="1"/>
  <c r="C15" i="21" s="1"/>
  <c r="B56" i="20"/>
  <c r="C2" i="17"/>
  <c r="D10" i="19"/>
  <c r="D4" i="19"/>
  <c r="D3" i="19"/>
  <c r="F24" i="18"/>
  <c r="E24" i="18"/>
  <c r="E26" i="18" s="1"/>
  <c r="K19" i="5"/>
  <c r="K9" i="5" s="1"/>
  <c r="G9" i="5"/>
  <c r="G19" i="5"/>
  <c r="I19" i="5"/>
  <c r="I9" i="5"/>
  <c r="F26" i="18"/>
  <c r="C11" i="19"/>
  <c r="C7" i="19"/>
  <c r="C2" i="19"/>
  <c r="E17" i="18"/>
  <c r="E20" i="18" s="1"/>
  <c r="F17" i="18"/>
  <c r="F20" i="18" s="1"/>
  <c r="E58" i="18"/>
  <c r="F58" i="18"/>
  <c r="D13" i="12"/>
  <c r="D12" i="12"/>
  <c r="D11" i="12"/>
  <c r="D10" i="12"/>
  <c r="D9" i="12"/>
  <c r="D8" i="12"/>
  <c r="D7" i="12"/>
  <c r="C24" i="11"/>
  <c r="C23" i="11" s="1"/>
  <c r="C22" i="11" s="1"/>
  <c r="C21" i="11" s="1"/>
  <c r="C20" i="11" s="1"/>
  <c r="D13" i="10"/>
  <c r="D12" i="10"/>
  <c r="D11" i="10"/>
  <c r="D10" i="10"/>
  <c r="D9" i="10"/>
  <c r="D8" i="10"/>
  <c r="D7" i="10"/>
  <c r="C24" i="9"/>
  <c r="C23" i="9" s="1"/>
  <c r="C22" i="9" s="1"/>
  <c r="C21" i="9" s="1"/>
  <c r="C20" i="9" s="1"/>
  <c r="G48" i="7"/>
  <c r="I48" i="7" s="1"/>
  <c r="K48" i="7" s="1"/>
  <c r="G53" i="7"/>
  <c r="I53" i="7" s="1"/>
  <c r="G61" i="7"/>
  <c r="G58" i="7" s="1"/>
  <c r="I58" i="7" s="1"/>
  <c r="K58" i="7" s="1"/>
  <c r="E61" i="7"/>
  <c r="C61" i="7"/>
  <c r="E66" i="7"/>
  <c r="G71" i="7"/>
  <c r="I71" i="7" s="1"/>
  <c r="K71" i="7" s="1"/>
  <c r="E71" i="7"/>
  <c r="C71" i="7"/>
  <c r="C66" i="7" s="1"/>
  <c r="G66" i="7" s="1"/>
  <c r="I66" i="7" s="1"/>
  <c r="K66" i="7" s="1"/>
  <c r="E76" i="7"/>
  <c r="G76" i="7" s="1"/>
  <c r="I76" i="7" s="1"/>
  <c r="K76" i="7" s="1"/>
  <c r="K48" i="6"/>
  <c r="I48" i="6"/>
  <c r="G48" i="6"/>
  <c r="K53" i="6"/>
  <c r="I53" i="6"/>
  <c r="G53" i="6"/>
  <c r="K58" i="6"/>
  <c r="I58" i="6"/>
  <c r="G58" i="6"/>
  <c r="E61" i="6"/>
  <c r="C61" i="6"/>
  <c r="K66" i="6"/>
  <c r="I66" i="6"/>
  <c r="G66" i="6"/>
  <c r="C66" i="6"/>
  <c r="K71" i="6"/>
  <c r="I71" i="6"/>
  <c r="G71" i="6"/>
  <c r="E23" i="20" l="1"/>
  <c r="E27" i="20" s="1"/>
  <c r="C10" i="21" s="1"/>
  <c r="F23" i="20"/>
  <c r="F27" i="20" s="1"/>
  <c r="D10" i="21" s="1"/>
  <c r="C13" i="24"/>
  <c r="C6" i="24"/>
  <c r="C5" i="24"/>
  <c r="F13" i="20"/>
  <c r="E13" i="20"/>
  <c r="C4" i="21" s="1"/>
  <c r="D9" i="24"/>
  <c r="D10" i="24" s="1"/>
  <c r="D2" i="24"/>
  <c r="D13" i="24"/>
  <c r="D5" i="24"/>
  <c r="D6" i="24"/>
  <c r="C9" i="24"/>
  <c r="C10" i="24" s="1"/>
  <c r="C2" i="24"/>
  <c r="D13" i="19"/>
  <c r="D17" i="21"/>
  <c r="D6" i="19"/>
  <c r="D8" i="21"/>
  <c r="F56" i="20"/>
  <c r="F57" i="20" s="1"/>
  <c r="D27" i="21" s="1"/>
  <c r="E56" i="20"/>
  <c r="E57" i="20" s="1"/>
  <c r="C27" i="21" s="1"/>
  <c r="C13" i="19"/>
  <c r="C17" i="21"/>
  <c r="C6" i="19"/>
  <c r="C8" i="21"/>
  <c r="D9" i="19"/>
  <c r="D12" i="21"/>
  <c r="C9" i="19"/>
  <c r="C12" i="21"/>
  <c r="C12" i="17"/>
  <c r="C13" i="17" s="1"/>
  <c r="H2" i="17"/>
  <c r="H12" i="17" s="1"/>
  <c r="B37" i="17"/>
  <c r="I2" i="2"/>
  <c r="C32" i="17"/>
  <c r="C37" i="17" s="1"/>
  <c r="C2" i="2" s="1"/>
  <c r="C2" i="9" s="1"/>
  <c r="K53" i="7"/>
  <c r="C14" i="24" l="1"/>
  <c r="C15" i="24" s="1"/>
  <c r="C3" i="24"/>
  <c r="C4" i="24" s="1"/>
  <c r="D14" i="24"/>
  <c r="D15" i="24" s="1"/>
  <c r="D3" i="24"/>
  <c r="D4" i="24" s="1"/>
  <c r="I5" i="2"/>
  <c r="I6" i="2"/>
  <c r="I4" i="2"/>
  <c r="I3" i="2"/>
  <c r="C2" i="11"/>
  <c r="D2" i="11" s="1"/>
  <c r="D2" i="9"/>
  <c r="B40" i="17"/>
  <c r="B39" i="17"/>
  <c r="C15" i="17"/>
  <c r="B38" i="17"/>
  <c r="B41" i="17"/>
  <c r="B42" i="17"/>
  <c r="H15" i="17"/>
  <c r="C42" i="17" s="1"/>
  <c r="C7" i="2" s="1"/>
  <c r="C7" i="9" s="1"/>
  <c r="H13" i="17"/>
  <c r="I7" i="2" s="1"/>
  <c r="K14" i="4"/>
  <c r="K28" i="4" s="1"/>
  <c r="K41" i="4" s="1"/>
  <c r="C7" i="11" l="1"/>
  <c r="D7" i="11" s="1"/>
  <c r="D7" i="9"/>
  <c r="B20" i="11"/>
  <c r="D20" i="11" s="1"/>
  <c r="E2" i="11"/>
  <c r="E2" i="9"/>
  <c r="B85" i="13" s="1"/>
  <c r="B99" i="13" s="1"/>
  <c r="B20" i="9"/>
  <c r="D20" i="9" s="1"/>
  <c r="B44" i="17"/>
  <c r="C40" i="17"/>
  <c r="C5" i="2" s="1"/>
  <c r="C5" i="9" s="1"/>
  <c r="C39" i="17"/>
  <c r="C4" i="2" s="1"/>
  <c r="C4" i="9" s="1"/>
  <c r="C38" i="17"/>
  <c r="C3" i="2" s="1"/>
  <c r="C3" i="9" s="1"/>
  <c r="C41" i="17"/>
  <c r="C6" i="2" s="1"/>
  <c r="C6" i="9" s="1"/>
  <c r="C3" i="11" l="1"/>
  <c r="D3" i="11" s="1"/>
  <c r="D3" i="9"/>
  <c r="C5" i="11"/>
  <c r="D5" i="11" s="1"/>
  <c r="D5" i="9"/>
  <c r="B25" i="11"/>
  <c r="D25" i="11" s="1"/>
  <c r="E7" i="11"/>
  <c r="C6" i="11"/>
  <c r="D6" i="11" s="1"/>
  <c r="D6" i="9"/>
  <c r="C4" i="11"/>
  <c r="D4" i="11" s="1"/>
  <c r="D4" i="9"/>
  <c r="B25" i="9"/>
  <c r="D25" i="9" s="1"/>
  <c r="E7" i="9"/>
  <c r="B90" i="13" s="1"/>
  <c r="B104" i="13" s="1"/>
  <c r="B13" i="2"/>
  <c r="B22" i="11" l="1"/>
  <c r="D22" i="11" s="1"/>
  <c r="E4" i="11"/>
  <c r="B24" i="11"/>
  <c r="D24" i="11" s="1"/>
  <c r="E6" i="11"/>
  <c r="B23" i="11"/>
  <c r="D23" i="11" s="1"/>
  <c r="E5" i="11"/>
  <c r="E3" i="11"/>
  <c r="B21" i="11"/>
  <c r="D21" i="11" s="1"/>
  <c r="D8" i="11"/>
  <c r="E4" i="9"/>
  <c r="B87" i="13" s="1"/>
  <c r="B101" i="13" s="1"/>
  <c r="B22" i="9"/>
  <c r="D22" i="9" s="1"/>
  <c r="B24" i="9"/>
  <c r="D24" i="9" s="1"/>
  <c r="E6" i="9"/>
  <c r="B89" i="13" s="1"/>
  <c r="B103" i="13" s="1"/>
  <c r="B23" i="9"/>
  <c r="D23" i="9" s="1"/>
  <c r="E5" i="9"/>
  <c r="B88" i="13" s="1"/>
  <c r="B102" i="13" s="1"/>
  <c r="B21" i="9"/>
  <c r="D21" i="9" s="1"/>
  <c r="E3" i="9"/>
  <c r="B86" i="13" s="1"/>
  <c r="B100" i="13" s="1"/>
  <c r="D8" i="9"/>
  <c r="H4" i="8"/>
  <c r="G6" i="8"/>
  <c r="G7" i="8"/>
  <c r="G8" i="8"/>
  <c r="G5" i="8"/>
  <c r="G4" i="8"/>
  <c r="B15" i="11" l="1"/>
  <c r="E8" i="11"/>
  <c r="B15" i="9"/>
  <c r="E8" i="9"/>
  <c r="D26" i="9"/>
  <c r="D26" i="11"/>
  <c r="K79" i="7"/>
  <c r="I79" i="7"/>
  <c r="G79" i="7"/>
  <c r="E79" i="7"/>
  <c r="C79" i="7"/>
  <c r="B4" i="15" s="1"/>
  <c r="M37" i="7"/>
  <c r="B4" i="14" s="1"/>
  <c r="M32" i="7"/>
  <c r="H4" i="14" s="1"/>
  <c r="M27" i="7"/>
  <c r="B13" i="14" s="1"/>
  <c r="M22" i="7"/>
  <c r="H13" i="14" s="1"/>
  <c r="M19" i="7"/>
  <c r="B23" i="14" s="1"/>
  <c r="M14" i="7"/>
  <c r="H23" i="14" s="1"/>
  <c r="M9" i="7"/>
  <c r="B33" i="14" s="1"/>
  <c r="K79" i="6"/>
  <c r="I79" i="6"/>
  <c r="G79" i="6"/>
  <c r="E79" i="6"/>
  <c r="C79" i="6"/>
  <c r="B9" i="15" s="1"/>
  <c r="M37" i="6"/>
  <c r="B9" i="14" s="1"/>
  <c r="M32" i="6"/>
  <c r="H9" i="14" s="1"/>
  <c r="M27" i="6"/>
  <c r="B18" i="14" s="1"/>
  <c r="M22" i="6"/>
  <c r="H18" i="14" s="1"/>
  <c r="M19" i="6"/>
  <c r="B28" i="14" s="1"/>
  <c r="M14" i="6"/>
  <c r="H28" i="14" s="1"/>
  <c r="M9" i="6"/>
  <c r="B38" i="14" s="1"/>
  <c r="K79" i="5"/>
  <c r="I79" i="5"/>
  <c r="G79" i="5"/>
  <c r="E79" i="5"/>
  <c r="C79" i="5"/>
  <c r="E24" i="11" l="1"/>
  <c r="C103" i="13" s="1"/>
  <c r="B127" i="13" s="1"/>
  <c r="D127" i="13" s="1"/>
  <c r="E25" i="9"/>
  <c r="C90" i="13" s="1"/>
  <c r="B119" i="13" s="1"/>
  <c r="D119" i="13" s="1"/>
  <c r="E24" i="9"/>
  <c r="C89" i="13" s="1"/>
  <c r="B118" i="13" s="1"/>
  <c r="D118" i="13" s="1"/>
  <c r="E23" i="9"/>
  <c r="C88" i="13" s="1"/>
  <c r="B117" i="13" s="1"/>
  <c r="D117" i="13" s="1"/>
  <c r="E20" i="9"/>
  <c r="E22" i="9"/>
  <c r="C87" i="13" s="1"/>
  <c r="B116" i="13" s="1"/>
  <c r="D116" i="13" s="1"/>
  <c r="E21" i="11"/>
  <c r="C100" i="13" s="1"/>
  <c r="B124" i="13" s="1"/>
  <c r="D124" i="13" s="1"/>
  <c r="E20" i="11"/>
  <c r="E23" i="11"/>
  <c r="C102" i="13" s="1"/>
  <c r="B126" i="13" s="1"/>
  <c r="D126" i="13" s="1"/>
  <c r="E25" i="11"/>
  <c r="C104" i="13" s="1"/>
  <c r="B128" i="13" s="1"/>
  <c r="D128" i="13" s="1"/>
  <c r="E21" i="9"/>
  <c r="C86" i="13" s="1"/>
  <c r="B115" i="13" s="1"/>
  <c r="D115" i="13" s="1"/>
  <c r="E22" i="11"/>
  <c r="C101" i="13" s="1"/>
  <c r="B125" i="13" s="1"/>
  <c r="D125" i="13" s="1"/>
  <c r="O27" i="6"/>
  <c r="O27" i="7"/>
  <c r="N9" i="7"/>
  <c r="O37" i="7"/>
  <c r="N9" i="6"/>
  <c r="O19" i="6"/>
  <c r="O37" i="6"/>
  <c r="K80" i="5"/>
  <c r="B27" i="15"/>
  <c r="B25" i="15"/>
  <c r="B26" i="15"/>
  <c r="B28" i="15"/>
  <c r="K81" i="6"/>
  <c r="B29" i="15"/>
  <c r="G80" i="7"/>
  <c r="B14" i="15"/>
  <c r="K80" i="7"/>
  <c r="B24" i="15"/>
  <c r="N22" i="6"/>
  <c r="N14" i="6"/>
  <c r="N32" i="7"/>
  <c r="N22" i="7"/>
  <c r="N14" i="7"/>
  <c r="O19" i="7"/>
  <c r="M38" i="7"/>
  <c r="B6" i="15"/>
  <c r="B8" i="15"/>
  <c r="B7" i="15"/>
  <c r="B5" i="15"/>
  <c r="G80" i="5"/>
  <c r="B17" i="15"/>
  <c r="B15" i="15"/>
  <c r="B16" i="15"/>
  <c r="B18" i="15"/>
  <c r="G81" i="6"/>
  <c r="B19" i="15"/>
  <c r="E81" i="5"/>
  <c r="H7" i="15"/>
  <c r="H5" i="15"/>
  <c r="H6" i="15"/>
  <c r="H8" i="15"/>
  <c r="I81" i="5"/>
  <c r="H18" i="15"/>
  <c r="H16" i="15"/>
  <c r="H17" i="15"/>
  <c r="H19" i="15"/>
  <c r="E81" i="6"/>
  <c r="H9" i="15"/>
  <c r="I80" i="6"/>
  <c r="H20" i="15"/>
  <c r="E81" i="7"/>
  <c r="H4" i="15"/>
  <c r="I81" i="7"/>
  <c r="H15" i="15"/>
  <c r="N32" i="6"/>
  <c r="M38" i="6"/>
  <c r="N37" i="6"/>
  <c r="N27" i="6"/>
  <c r="N19" i="6"/>
  <c r="O9" i="6"/>
  <c r="O32" i="6"/>
  <c r="O22" i="6"/>
  <c r="O14" i="6"/>
  <c r="N37" i="7"/>
  <c r="N27" i="7"/>
  <c r="N19" i="7"/>
  <c r="O9" i="7"/>
  <c r="O32" i="7"/>
  <c r="O22" i="7"/>
  <c r="O14" i="7"/>
  <c r="K81" i="7"/>
  <c r="I80" i="7"/>
  <c r="G81" i="7"/>
  <c r="L79" i="7"/>
  <c r="E80" i="7"/>
  <c r="C81" i="7"/>
  <c r="C80" i="7"/>
  <c r="E80" i="6"/>
  <c r="K80" i="6"/>
  <c r="I81" i="6"/>
  <c r="L79" i="6"/>
  <c r="G80" i="6"/>
  <c r="C81" i="6"/>
  <c r="C80" i="6"/>
  <c r="K81" i="5"/>
  <c r="I80" i="5"/>
  <c r="G81" i="5"/>
  <c r="L79" i="5"/>
  <c r="E80" i="5"/>
  <c r="C81" i="5"/>
  <c r="C80" i="5"/>
  <c r="C99" i="13" l="1"/>
  <c r="B123" i="13" s="1"/>
  <c r="D123" i="13" s="1"/>
  <c r="F20" i="11"/>
  <c r="C85" i="13"/>
  <c r="B114" i="13" s="1"/>
  <c r="D114" i="13" s="1"/>
  <c r="F20" i="9"/>
  <c r="O38" i="7"/>
  <c r="O38" i="6"/>
  <c r="N38" i="6"/>
  <c r="N4" i="6" s="1"/>
  <c r="S4" i="6" s="1"/>
  <c r="N38" i="7"/>
  <c r="N4" i="7" s="1"/>
  <c r="L81" i="7"/>
  <c r="L80" i="7"/>
  <c r="O79" i="7" s="1"/>
  <c r="L80" i="6"/>
  <c r="O78" i="6" s="1"/>
  <c r="L81" i="6"/>
  <c r="L80" i="5"/>
  <c r="N79" i="5" s="1"/>
  <c r="L81" i="5"/>
  <c r="M37" i="5"/>
  <c r="M32" i="5"/>
  <c r="N32" i="5" s="1"/>
  <c r="M27" i="5"/>
  <c r="O27" i="5" s="1"/>
  <c r="M22" i="5"/>
  <c r="N22" i="5" s="1"/>
  <c r="M19" i="5"/>
  <c r="M14" i="5"/>
  <c r="N14" i="5" s="1"/>
  <c r="M9" i="5"/>
  <c r="O9" i="5" s="1"/>
  <c r="F21" i="9" l="1"/>
  <c r="B7" i="10"/>
  <c r="F21" i="11"/>
  <c r="B7" i="12"/>
  <c r="E4" i="8"/>
  <c r="H44" i="13" s="1"/>
  <c r="K44" i="13" s="1"/>
  <c r="T79" i="7"/>
  <c r="F4" i="8"/>
  <c r="I44" i="13" s="1"/>
  <c r="J44" i="13" s="1"/>
  <c r="S4" i="7"/>
  <c r="E8" i="8"/>
  <c r="H48" i="13" s="1"/>
  <c r="M48" i="13" s="1"/>
  <c r="S79" i="5"/>
  <c r="E6" i="8"/>
  <c r="H46" i="13" s="1"/>
  <c r="K46" i="13" s="1"/>
  <c r="F9" i="8"/>
  <c r="I49" i="13" s="1"/>
  <c r="L49" i="13" s="1"/>
  <c r="B25" i="14"/>
  <c r="B27" i="14"/>
  <c r="B24" i="14"/>
  <c r="B26" i="14"/>
  <c r="B6" i="14"/>
  <c r="B8" i="14"/>
  <c r="B7" i="14"/>
  <c r="B5" i="14"/>
  <c r="M46" i="13"/>
  <c r="E9" i="8"/>
  <c r="H49" i="13" s="1"/>
  <c r="T78" i="6"/>
  <c r="B35" i="14"/>
  <c r="B37" i="14"/>
  <c r="B36" i="14"/>
  <c r="B34" i="14"/>
  <c r="B15" i="14"/>
  <c r="B17" i="14"/>
  <c r="B16" i="14"/>
  <c r="B14" i="14"/>
  <c r="H25" i="14"/>
  <c r="H27" i="14"/>
  <c r="H26" i="14"/>
  <c r="H24" i="14"/>
  <c r="H16" i="14"/>
  <c r="H14" i="14"/>
  <c r="H15" i="14"/>
  <c r="H17" i="14"/>
  <c r="H6" i="14"/>
  <c r="H8" i="14"/>
  <c r="H7" i="14"/>
  <c r="H5" i="14"/>
  <c r="M44" i="13"/>
  <c r="L44" i="13"/>
  <c r="O37" i="5"/>
  <c r="O19" i="5"/>
  <c r="N9" i="5"/>
  <c r="N19" i="5"/>
  <c r="N27" i="5"/>
  <c r="N37" i="5"/>
  <c r="O14" i="5"/>
  <c r="O32" i="5"/>
  <c r="O22" i="5"/>
  <c r="M39" i="5"/>
  <c r="E5" i="8"/>
  <c r="H45" i="13" s="1"/>
  <c r="E7" i="8"/>
  <c r="H47" i="13" s="1"/>
  <c r="F22" i="11" l="1"/>
  <c r="B8" i="12"/>
  <c r="B8" i="10"/>
  <c r="F22" i="9"/>
  <c r="K48" i="13"/>
  <c r="J49" i="13"/>
  <c r="O39" i="5"/>
  <c r="M47" i="13"/>
  <c r="K47" i="13"/>
  <c r="C54" i="13"/>
  <c r="D85" i="13" s="1"/>
  <c r="M45" i="13"/>
  <c r="K45" i="13"/>
  <c r="E54" i="13"/>
  <c r="D99" i="13" s="1"/>
  <c r="M49" i="13"/>
  <c r="K49" i="13"/>
  <c r="E58" i="13"/>
  <c r="D103" i="13" s="1"/>
  <c r="E56" i="13"/>
  <c r="D101" i="13" s="1"/>
  <c r="N39" i="5"/>
  <c r="N4" i="5" s="1"/>
  <c r="S4" i="5" s="1"/>
  <c r="B9" i="12" l="1"/>
  <c r="F23" i="11"/>
  <c r="F23" i="9"/>
  <c r="B9" i="10"/>
  <c r="C59" i="13"/>
  <c r="D90" i="13" s="1"/>
  <c r="E103" i="13"/>
  <c r="F103" i="13"/>
  <c r="E101" i="13"/>
  <c r="F101" i="13"/>
  <c r="F99" i="13"/>
  <c r="E99" i="13"/>
  <c r="E85" i="13"/>
  <c r="F85" i="13"/>
  <c r="F6" i="8"/>
  <c r="I46" i="13" s="1"/>
  <c r="F8" i="8"/>
  <c r="I48" i="13" s="1"/>
  <c r="F7" i="8"/>
  <c r="I47" i="13" s="1"/>
  <c r="F5" i="8"/>
  <c r="I45" i="13" s="1"/>
  <c r="E59" i="13"/>
  <c r="D104" i="13" s="1"/>
  <c r="E55" i="13"/>
  <c r="D100" i="13" s="1"/>
  <c r="E57" i="13"/>
  <c r="D102" i="13" s="1"/>
  <c r="B4" i="1"/>
  <c r="B2" i="1"/>
  <c r="B3" i="1" s="1"/>
  <c r="F24" i="9" l="1"/>
  <c r="B10" i="10"/>
  <c r="F24" i="11"/>
  <c r="B10" i="12"/>
  <c r="E90" i="13"/>
  <c r="F90" i="13"/>
  <c r="F100" i="13"/>
  <c r="E100" i="13"/>
  <c r="E102" i="13"/>
  <c r="F102" i="13"/>
  <c r="E104" i="13"/>
  <c r="F104" i="13"/>
  <c r="L46" i="13"/>
  <c r="J46" i="13"/>
  <c r="L47" i="13"/>
  <c r="J47" i="13"/>
  <c r="L45" i="13"/>
  <c r="J45" i="13"/>
  <c r="L48" i="13"/>
  <c r="J48" i="13"/>
  <c r="F66" i="1"/>
  <c r="F65" i="1"/>
  <c r="F64" i="1"/>
  <c r="F56" i="1"/>
  <c r="F40" i="1"/>
  <c r="F39" i="1"/>
  <c r="F32" i="1"/>
  <c r="F31" i="1"/>
  <c r="F25" i="11" l="1"/>
  <c r="B12" i="12" s="1"/>
  <c r="B11" i="12"/>
  <c r="B11" i="10"/>
  <c r="F25" i="9"/>
  <c r="B12" i="10" s="1"/>
  <c r="E105" i="13"/>
  <c r="F105" i="13"/>
  <c r="C58" i="13"/>
  <c r="D89" i="13" s="1"/>
  <c r="C55" i="13"/>
  <c r="D86" i="13" s="1"/>
  <c r="C57" i="13"/>
  <c r="D88" i="13" s="1"/>
  <c r="C56" i="13"/>
  <c r="D87" i="13" s="1"/>
  <c r="F106" i="13" l="1"/>
  <c r="E88" i="13"/>
  <c r="F88" i="13"/>
  <c r="F89" i="13"/>
  <c r="E89" i="13"/>
  <c r="E87" i="13"/>
  <c r="F87" i="13"/>
  <c r="E86" i="13"/>
  <c r="F86" i="13"/>
  <c r="F57" i="1"/>
  <c r="F55" i="1"/>
  <c r="F54" i="1"/>
  <c r="J16" i="1"/>
  <c r="F91" i="13" l="1"/>
  <c r="E91" i="13"/>
  <c r="K34" i="4"/>
  <c r="M34" i="4" s="1"/>
  <c r="K35" i="4"/>
  <c r="M35" i="4" s="1"/>
  <c r="K36" i="4"/>
  <c r="M36" i="4" s="1"/>
  <c r="K37" i="4"/>
  <c r="M37" i="4" s="1"/>
  <c r="K38" i="4"/>
  <c r="M38" i="4" s="1"/>
  <c r="K39" i="4"/>
  <c r="K40" i="4"/>
  <c r="M40" i="4" s="1"/>
  <c r="K33" i="4"/>
  <c r="M33" i="4" s="1"/>
  <c r="F92" i="13" l="1"/>
  <c r="M41" i="4"/>
  <c r="D41" i="4"/>
  <c r="C51" i="4" l="1"/>
  <c r="D82" i="4"/>
  <c r="E4" i="12" s="1"/>
  <c r="C12" i="12" s="1"/>
  <c r="K27" i="4"/>
  <c r="M27" i="4" s="1"/>
  <c r="K26" i="4"/>
  <c r="M26" i="4" s="1"/>
  <c r="K25" i="4"/>
  <c r="M25" i="4" s="1"/>
  <c r="K24" i="4"/>
  <c r="M24" i="4" s="1"/>
  <c r="K23" i="4"/>
  <c r="M23" i="4" s="1"/>
  <c r="K22" i="4"/>
  <c r="M22" i="4" s="1"/>
  <c r="K21" i="4"/>
  <c r="M21" i="4" s="1"/>
  <c r="K20" i="4"/>
  <c r="M20" i="4" s="1"/>
  <c r="C27" i="4"/>
  <c r="C40" i="4" s="1"/>
  <c r="F40" i="4" s="1"/>
  <c r="C26" i="4"/>
  <c r="C39" i="4" s="1"/>
  <c r="F39" i="4" s="1"/>
  <c r="C25" i="4"/>
  <c r="C24" i="4"/>
  <c r="C23" i="4"/>
  <c r="C36" i="4" s="1"/>
  <c r="F36" i="4" s="1"/>
  <c r="C22" i="4"/>
  <c r="C35" i="4" s="1"/>
  <c r="F35" i="4" s="1"/>
  <c r="C21" i="4"/>
  <c r="C20" i="4"/>
  <c r="M12" i="4"/>
  <c r="M13" i="4"/>
  <c r="I12" i="12" l="1"/>
  <c r="I26" i="12" s="1"/>
  <c r="E13" i="12"/>
  <c r="E12" i="12"/>
  <c r="C74" i="4"/>
  <c r="D9" i="8"/>
  <c r="M28" i="4"/>
  <c r="C34" i="4"/>
  <c r="F34" i="4" s="1"/>
  <c r="F21" i="4"/>
  <c r="C38" i="4"/>
  <c r="F38" i="4" s="1"/>
  <c r="F25" i="4"/>
  <c r="C33" i="4"/>
  <c r="F33" i="4" s="1"/>
  <c r="F20" i="4"/>
  <c r="C37" i="4"/>
  <c r="F37" i="4" s="1"/>
  <c r="F24" i="4"/>
  <c r="C28" i="4"/>
  <c r="C41" i="4" s="1"/>
  <c r="J12" i="12" l="1"/>
  <c r="J26" i="12" s="1"/>
  <c r="B40" i="12" s="1"/>
  <c r="B19" i="13"/>
  <c r="J13" i="12"/>
  <c r="J27" i="12" s="1"/>
  <c r="B20" i="13"/>
  <c r="C46" i="4"/>
  <c r="D80" i="4"/>
  <c r="E2" i="12" s="1"/>
  <c r="C7" i="12" s="1"/>
  <c r="F41" i="4"/>
  <c r="F28" i="4"/>
  <c r="M10" i="4"/>
  <c r="E7" i="12" l="1"/>
  <c r="I7" i="12"/>
  <c r="I21" i="12" s="1"/>
  <c r="B41" i="12"/>
  <c r="B43" i="12"/>
  <c r="B51" i="4"/>
  <c r="C82" i="4"/>
  <c r="E4" i="10" s="1"/>
  <c r="C12" i="10" s="1"/>
  <c r="C69" i="4"/>
  <c r="D4" i="8"/>
  <c r="B46" i="4"/>
  <c r="C80" i="4"/>
  <c r="E2" i="10" s="1"/>
  <c r="C7" i="10" s="1"/>
  <c r="M7" i="4"/>
  <c r="M8" i="4"/>
  <c r="M9" i="4"/>
  <c r="B14" i="13" l="1"/>
  <c r="J7" i="12"/>
  <c r="J21" i="12" s="1"/>
  <c r="B35" i="12" s="1"/>
  <c r="F7" i="12"/>
  <c r="E7" i="10"/>
  <c r="I7" i="10"/>
  <c r="I21" i="10" s="1"/>
  <c r="I12" i="10"/>
  <c r="I26" i="10" s="1"/>
  <c r="E12" i="10"/>
  <c r="E13" i="10"/>
  <c r="C4" i="8"/>
  <c r="C57" i="4"/>
  <c r="C9" i="8"/>
  <c r="C62" i="4"/>
  <c r="M6" i="4"/>
  <c r="M14" i="4" s="1"/>
  <c r="D81" i="4" s="1"/>
  <c r="E3" i="12" s="1"/>
  <c r="B34" i="13" l="1"/>
  <c r="K7" i="12"/>
  <c r="K21" i="12" s="1"/>
  <c r="G7" i="12"/>
  <c r="C35" i="12" s="1"/>
  <c r="C8" i="12"/>
  <c r="C9" i="12"/>
  <c r="C10" i="12"/>
  <c r="C11" i="12"/>
  <c r="J12" i="10"/>
  <c r="J26" i="10" s="1"/>
  <c r="B40" i="10" s="1"/>
  <c r="B9" i="13"/>
  <c r="J13" i="10"/>
  <c r="J27" i="10" s="1"/>
  <c r="B10" i="13"/>
  <c r="F7" i="10"/>
  <c r="B4" i="13"/>
  <c r="J7" i="10"/>
  <c r="J21" i="10" s="1"/>
  <c r="B35" i="10" s="1"/>
  <c r="C48" i="4"/>
  <c r="C50" i="4"/>
  <c r="C49" i="4"/>
  <c r="C47" i="4"/>
  <c r="F11" i="4"/>
  <c r="B24" i="13" l="1"/>
  <c r="G7" i="10"/>
  <c r="C35" i="10" s="1"/>
  <c r="K7" i="10"/>
  <c r="K21" i="10" s="1"/>
  <c r="B43" i="10"/>
  <c r="B41" i="10"/>
  <c r="E10" i="12"/>
  <c r="I10" i="12"/>
  <c r="I24" i="12" s="1"/>
  <c r="I8" i="12"/>
  <c r="I22" i="12" s="1"/>
  <c r="E8" i="12"/>
  <c r="E11" i="12"/>
  <c r="I11" i="12"/>
  <c r="I25" i="12" s="1"/>
  <c r="E9" i="12"/>
  <c r="I9" i="12"/>
  <c r="I23" i="12" s="1"/>
  <c r="C72" i="4"/>
  <c r="D7" i="8"/>
  <c r="C71" i="4"/>
  <c r="D6" i="8"/>
  <c r="C70" i="4"/>
  <c r="D5" i="8"/>
  <c r="C73" i="4"/>
  <c r="D8" i="8"/>
  <c r="B18" i="13" l="1"/>
  <c r="J11" i="12"/>
  <c r="J25" i="12" s="1"/>
  <c r="F12" i="12"/>
  <c r="B17" i="13"/>
  <c r="J10" i="12"/>
  <c r="J24" i="12" s="1"/>
  <c r="B38" i="12" s="1"/>
  <c r="F11" i="12"/>
  <c r="B16" i="13"/>
  <c r="J9" i="12"/>
  <c r="J23" i="12" s="1"/>
  <c r="B37" i="12" s="1"/>
  <c r="F10" i="12"/>
  <c r="B15" i="13"/>
  <c r="J8" i="12"/>
  <c r="J22" i="12" s="1"/>
  <c r="B36" i="12" s="1"/>
  <c r="F9" i="12"/>
  <c r="F8" i="12"/>
  <c r="F10" i="4"/>
  <c r="F7" i="4"/>
  <c r="F6" i="4"/>
  <c r="K12" i="12" l="1"/>
  <c r="B39" i="13"/>
  <c r="B35" i="13"/>
  <c r="K8" i="12"/>
  <c r="K22" i="12" s="1"/>
  <c r="G9" i="12"/>
  <c r="C37" i="12" s="1"/>
  <c r="G8" i="12"/>
  <c r="C36" i="12" s="1"/>
  <c r="B37" i="13"/>
  <c r="K10" i="12"/>
  <c r="K24" i="12" s="1"/>
  <c r="G11" i="12"/>
  <c r="C39" i="12" s="1"/>
  <c r="B36" i="13"/>
  <c r="K9" i="12"/>
  <c r="K23" i="12" s="1"/>
  <c r="G10" i="12"/>
  <c r="C38" i="12" s="1"/>
  <c r="B38" i="13"/>
  <c r="K11" i="12"/>
  <c r="K25" i="12" s="1"/>
  <c r="G12" i="12"/>
  <c r="C40" i="12" s="1"/>
  <c r="B39" i="12"/>
  <c r="D45" i="12"/>
  <c r="F14" i="4"/>
  <c r="C81" i="4" s="1"/>
  <c r="E3" i="10" s="1"/>
  <c r="C14" i="4"/>
  <c r="E69" i="1"/>
  <c r="D69" i="1"/>
  <c r="K26" i="12" l="1"/>
  <c r="C18" i="12" s="1"/>
  <c r="C8" i="10"/>
  <c r="C9" i="10"/>
  <c r="C10" i="10"/>
  <c r="C11" i="10"/>
  <c r="B48" i="4"/>
  <c r="B50" i="4"/>
  <c r="B47" i="4"/>
  <c r="B49" i="4"/>
  <c r="C2" i="1"/>
  <c r="E7" i="1"/>
  <c r="E10" i="10" l="1"/>
  <c r="I10" i="10"/>
  <c r="I24" i="10" s="1"/>
  <c r="E8" i="10"/>
  <c r="I8" i="10"/>
  <c r="I22" i="10" s="1"/>
  <c r="I11" i="10"/>
  <c r="I25" i="10" s="1"/>
  <c r="E11" i="10"/>
  <c r="E9" i="10"/>
  <c r="I9" i="10"/>
  <c r="I23" i="10" s="1"/>
  <c r="C60" i="4"/>
  <c r="C7" i="8"/>
  <c r="C61" i="4"/>
  <c r="C8" i="8"/>
  <c r="C58" i="4"/>
  <c r="C5" i="8"/>
  <c r="C59" i="4"/>
  <c r="C6" i="8"/>
  <c r="C42" i="1"/>
  <c r="C26" i="1"/>
  <c r="D8" i="1"/>
  <c r="C24" i="2"/>
  <c r="C23" i="2" s="1"/>
  <c r="C22" i="2" s="1"/>
  <c r="C21" i="2" s="1"/>
  <c r="C20" i="2" s="1"/>
  <c r="D9" i="1"/>
  <c r="E9" i="1"/>
  <c r="E8" i="1"/>
  <c r="D7" i="1"/>
  <c r="B42" i="1" s="1"/>
  <c r="J9" i="1"/>
  <c r="E6" i="1"/>
  <c r="C19" i="1" s="1"/>
  <c r="D6" i="1"/>
  <c r="D5" i="1"/>
  <c r="E3" i="1"/>
  <c r="E4" i="1"/>
  <c r="D3" i="1"/>
  <c r="D4" i="1"/>
  <c r="E2" i="1"/>
  <c r="J11" i="10" l="1"/>
  <c r="J25" i="10" s="1"/>
  <c r="B8" i="13"/>
  <c r="F12" i="10"/>
  <c r="B56" i="1"/>
  <c r="B19" i="1"/>
  <c r="B6" i="13"/>
  <c r="J9" i="10"/>
  <c r="J23" i="10" s="1"/>
  <c r="B37" i="10" s="1"/>
  <c r="F10" i="10"/>
  <c r="B5" i="13"/>
  <c r="F9" i="10"/>
  <c r="J8" i="10"/>
  <c r="J22" i="10" s="1"/>
  <c r="B36" i="10" s="1"/>
  <c r="F8" i="10"/>
  <c r="B7" i="13"/>
  <c r="F11" i="10"/>
  <c r="J10" i="10"/>
  <c r="J24" i="10" s="1"/>
  <c r="B38" i="10" s="1"/>
  <c r="B17" i="1"/>
  <c r="B57" i="1"/>
  <c r="C57" i="1"/>
  <c r="C17" i="1"/>
  <c r="C40" i="1"/>
  <c r="C32" i="1"/>
  <c r="C16" i="1"/>
  <c r="C41" i="1"/>
  <c r="C33" i="1"/>
  <c r="C24" i="1"/>
  <c r="B66" i="1"/>
  <c r="B67" i="1"/>
  <c r="B58" i="1"/>
  <c r="B65" i="1"/>
  <c r="B55" i="1"/>
  <c r="D2" i="1"/>
  <c r="B26" i="1"/>
  <c r="B18" i="1"/>
  <c r="B34" i="1"/>
  <c r="C25" i="1"/>
  <c r="C27" i="1" s="1"/>
  <c r="C64" i="1"/>
  <c r="C54" i="1"/>
  <c r="C65" i="1"/>
  <c r="C55" i="1"/>
  <c r="C18" i="1"/>
  <c r="C34" i="1"/>
  <c r="C66" i="1"/>
  <c r="C56" i="1"/>
  <c r="C67" i="1"/>
  <c r="C58" i="1"/>
  <c r="E11" i="1"/>
  <c r="D13" i="3"/>
  <c r="D12" i="3"/>
  <c r="D8" i="3"/>
  <c r="D9" i="3"/>
  <c r="D10" i="3"/>
  <c r="D11" i="3"/>
  <c r="D7" i="3"/>
  <c r="C43" i="1" l="1"/>
  <c r="C35" i="1"/>
  <c r="K12" i="10"/>
  <c r="B29" i="13"/>
  <c r="D45" i="10"/>
  <c r="B39" i="10"/>
  <c r="B28" i="13"/>
  <c r="K11" i="10"/>
  <c r="K25" i="10" s="1"/>
  <c r="G12" i="10"/>
  <c r="C40" i="10" s="1"/>
  <c r="B25" i="13"/>
  <c r="K8" i="10"/>
  <c r="K22" i="10" s="1"/>
  <c r="G9" i="10"/>
  <c r="C37" i="10" s="1"/>
  <c r="G8" i="10"/>
  <c r="C36" i="10" s="1"/>
  <c r="B26" i="13"/>
  <c r="K9" i="10"/>
  <c r="K23" i="10" s="1"/>
  <c r="G10" i="10"/>
  <c r="C38" i="10" s="1"/>
  <c r="B27" i="13"/>
  <c r="K10" i="10"/>
  <c r="K24" i="10" s="1"/>
  <c r="G11" i="10"/>
  <c r="C39" i="10" s="1"/>
  <c r="C20" i="1"/>
  <c r="B40" i="1"/>
  <c r="B32" i="1"/>
  <c r="B24" i="1"/>
  <c r="B16" i="1"/>
  <c r="B20" i="1" s="1"/>
  <c r="B41" i="1"/>
  <c r="B33" i="1"/>
  <c r="D11" i="1"/>
  <c r="B54" i="1"/>
  <c r="B59" i="1" s="1"/>
  <c r="B73" i="1" s="1"/>
  <c r="B64" i="1"/>
  <c r="B68" i="1" s="1"/>
  <c r="C73" i="1" s="1"/>
  <c r="B25" i="1"/>
  <c r="C68" i="1"/>
  <c r="E73" i="1" s="1"/>
  <c r="C59" i="1"/>
  <c r="D73" i="1" s="1"/>
  <c r="D35" i="12" l="1"/>
  <c r="F35" i="12" s="1"/>
  <c r="D35" i="10"/>
  <c r="F35" i="10" s="1"/>
  <c r="K26" i="10"/>
  <c r="C18" i="10" s="1"/>
  <c r="E35" i="10"/>
  <c r="G35" i="10" s="1"/>
  <c r="E35" i="12"/>
  <c r="G35" i="12" s="1"/>
  <c r="C17" i="3"/>
  <c r="C17" i="10"/>
  <c r="C17" i="12"/>
  <c r="C19" i="12" s="1"/>
  <c r="B25" i="12" s="1"/>
  <c r="B29" i="12" s="1"/>
  <c r="E77" i="1"/>
  <c r="E75" i="1"/>
  <c r="E35" i="3"/>
  <c r="E78" i="1"/>
  <c r="E76" i="1"/>
  <c r="E74" i="1"/>
  <c r="C77" i="1"/>
  <c r="C75" i="1"/>
  <c r="C78" i="1"/>
  <c r="C76" i="1"/>
  <c r="C74" i="1"/>
  <c r="D77" i="1"/>
  <c r="D75" i="1"/>
  <c r="D35" i="3"/>
  <c r="D78" i="1"/>
  <c r="D76" i="1"/>
  <c r="D74" i="1"/>
  <c r="B77" i="1"/>
  <c r="B75" i="1"/>
  <c r="B78" i="1"/>
  <c r="B76" i="1"/>
  <c r="B74" i="1"/>
  <c r="B43" i="1"/>
  <c r="B35" i="1"/>
  <c r="B27" i="1"/>
  <c r="C19" i="10" l="1"/>
  <c r="B25" i="10" s="1"/>
  <c r="B29" i="10" s="1"/>
  <c r="D36" i="3"/>
  <c r="D36" i="12"/>
  <c r="F36" i="12" s="1"/>
  <c r="D36" i="10"/>
  <c r="F36" i="10" s="1"/>
  <c r="D40" i="3"/>
  <c r="D40" i="12"/>
  <c r="F40" i="12" s="1"/>
  <c r="B44" i="12" s="1"/>
  <c r="D40" i="10"/>
  <c r="F40" i="10" s="1"/>
  <c r="B44" i="10" s="1"/>
  <c r="D37" i="3"/>
  <c r="D37" i="12"/>
  <c r="F37" i="12" s="1"/>
  <c r="D37" i="10"/>
  <c r="F37" i="10" s="1"/>
  <c r="E38" i="3"/>
  <c r="E38" i="10"/>
  <c r="G38" i="10" s="1"/>
  <c r="E38" i="12"/>
  <c r="G38" i="12" s="1"/>
  <c r="E39" i="3"/>
  <c r="E39" i="10"/>
  <c r="G39" i="10" s="1"/>
  <c r="E39" i="12"/>
  <c r="G39" i="12" s="1"/>
  <c r="D38" i="3"/>
  <c r="D38" i="12"/>
  <c r="F38" i="12" s="1"/>
  <c r="D38" i="10"/>
  <c r="F38" i="10" s="1"/>
  <c r="D39" i="3"/>
  <c r="D39" i="12"/>
  <c r="F39" i="12" s="1"/>
  <c r="D39" i="10"/>
  <c r="F39" i="10" s="1"/>
  <c r="E36" i="3"/>
  <c r="E36" i="10"/>
  <c r="G36" i="10" s="1"/>
  <c r="E36" i="12"/>
  <c r="G36" i="12" s="1"/>
  <c r="E40" i="3"/>
  <c r="E40" i="10"/>
  <c r="G40" i="10" s="1"/>
  <c r="B45" i="10" s="1"/>
  <c r="E40" i="12"/>
  <c r="G40" i="12" s="1"/>
  <c r="B45" i="12" s="1"/>
  <c r="E37" i="3"/>
  <c r="E37" i="10"/>
  <c r="G37" i="10" s="1"/>
  <c r="E37" i="12"/>
  <c r="G37" i="12" s="1"/>
  <c r="D3" i="2"/>
  <c r="E3" i="2" s="1"/>
  <c r="D4" i="2"/>
  <c r="E4" i="2" s="1"/>
  <c r="E59" i="4" s="1"/>
  <c r="D5" i="2"/>
  <c r="E5" i="2" s="1"/>
  <c r="D6" i="2"/>
  <c r="E6" i="2" s="1"/>
  <c r="D7" i="2"/>
  <c r="E7" i="2" s="1"/>
  <c r="D2" i="2"/>
  <c r="E2" i="2" s="1"/>
  <c r="B25" i="2" l="1"/>
  <c r="D25" i="2" s="1"/>
  <c r="B21" i="2"/>
  <c r="D21" i="2" s="1"/>
  <c r="B20" i="2"/>
  <c r="D20" i="2" s="1"/>
  <c r="B24" i="2"/>
  <c r="D24" i="2" s="1"/>
  <c r="B22" i="2"/>
  <c r="D22" i="2" s="1"/>
  <c r="E61" i="4"/>
  <c r="E73" i="4" s="1"/>
  <c r="B23" i="2"/>
  <c r="D23" i="2" s="1"/>
  <c r="E71" i="4"/>
  <c r="E62" i="4"/>
  <c r="E60" i="4"/>
  <c r="E58" i="4"/>
  <c r="D8" i="2"/>
  <c r="E8" i="2" s="1"/>
  <c r="E57" i="4"/>
  <c r="D26" i="2" l="1"/>
  <c r="E70" i="4"/>
  <c r="E74" i="4"/>
  <c r="E69" i="4"/>
  <c r="E72" i="4"/>
  <c r="B15" i="2"/>
  <c r="E23" i="2" s="1"/>
  <c r="E20" i="2" l="1"/>
  <c r="F20" i="2" s="1"/>
  <c r="B7" i="3" s="1"/>
  <c r="C7" i="3" s="1"/>
  <c r="E21" i="2"/>
  <c r="E22" i="2"/>
  <c r="E24" i="2"/>
  <c r="E25" i="2"/>
  <c r="F21" i="2" l="1"/>
  <c r="B58" i="4" s="1"/>
  <c r="B57" i="4"/>
  <c r="E7" i="3"/>
  <c r="J7" i="3" s="1"/>
  <c r="J21" i="3" s="1"/>
  <c r="B35" i="3" s="1"/>
  <c r="I7" i="3"/>
  <c r="I21" i="3" s="1"/>
  <c r="F7" i="3"/>
  <c r="G7" i="3" s="1"/>
  <c r="F22" i="2" l="1"/>
  <c r="B59" i="4" s="1"/>
  <c r="B70" i="4"/>
  <c r="D58" i="4"/>
  <c r="B69" i="4"/>
  <c r="D57" i="4"/>
  <c r="B8" i="3"/>
  <c r="C8" i="3" s="1"/>
  <c r="E8" i="3" s="1"/>
  <c r="K7" i="3"/>
  <c r="K21" i="3" s="1"/>
  <c r="C35" i="3"/>
  <c r="B9" i="3"/>
  <c r="C9" i="3" s="1"/>
  <c r="D59" i="4" l="1"/>
  <c r="F23" i="2"/>
  <c r="B60" i="4" s="1"/>
  <c r="B72" i="4" s="1"/>
  <c r="B71" i="4"/>
  <c r="D69" i="4"/>
  <c r="D70" i="4"/>
  <c r="D71" i="4"/>
  <c r="J8" i="3"/>
  <c r="J22" i="3" s="1"/>
  <c r="B36" i="3" s="1"/>
  <c r="F8" i="3"/>
  <c r="G8" i="3" s="1"/>
  <c r="C36" i="3" s="1"/>
  <c r="I8" i="3"/>
  <c r="I22" i="3" s="1"/>
  <c r="G35" i="3"/>
  <c r="F35" i="3"/>
  <c r="E9" i="3"/>
  <c r="I9" i="3"/>
  <c r="I23" i="3" s="1"/>
  <c r="B10" i="3"/>
  <c r="C10" i="3" s="1"/>
  <c r="K8" i="3" l="1"/>
  <c r="K22" i="3" s="1"/>
  <c r="F24" i="2"/>
  <c r="B61" i="4" s="1"/>
  <c r="B73" i="4" s="1"/>
  <c r="D60" i="4"/>
  <c r="D72" i="4"/>
  <c r="G36" i="3"/>
  <c r="F36" i="3"/>
  <c r="E10" i="3"/>
  <c r="J10" i="3" s="1"/>
  <c r="J24" i="3" s="1"/>
  <c r="B38" i="3" s="1"/>
  <c r="I10" i="3"/>
  <c r="I24" i="3" s="1"/>
  <c r="F9" i="3"/>
  <c r="J9" i="3"/>
  <c r="J23" i="3" s="1"/>
  <c r="B37" i="3" s="1"/>
  <c r="B11" i="3" l="1"/>
  <c r="C11" i="3" s="1"/>
  <c r="E11" i="3" s="1"/>
  <c r="F10" i="3"/>
  <c r="F25" i="2"/>
  <c r="B62" i="4" s="1"/>
  <c r="D61" i="4"/>
  <c r="D73" i="4"/>
  <c r="K10" i="3"/>
  <c r="K24" i="3" s="1"/>
  <c r="K9" i="3"/>
  <c r="K23" i="3" s="1"/>
  <c r="G10" i="3"/>
  <c r="C38" i="3" s="1"/>
  <c r="G9" i="3"/>
  <c r="C37" i="3" s="1"/>
  <c r="I11" i="3"/>
  <c r="I25" i="3" s="1"/>
  <c r="B12" i="3" l="1"/>
  <c r="C12" i="3" s="1"/>
  <c r="I12" i="3" s="1"/>
  <c r="I26" i="3" s="1"/>
  <c r="B74" i="4"/>
  <c r="D62" i="4"/>
  <c r="F62" i="4" s="1"/>
  <c r="G37" i="3"/>
  <c r="F37" i="3"/>
  <c r="G38" i="3"/>
  <c r="F38" i="3"/>
  <c r="F11" i="3"/>
  <c r="J11" i="3"/>
  <c r="J25" i="3" s="1"/>
  <c r="E13" i="3" l="1"/>
  <c r="J13" i="3" s="1"/>
  <c r="J27" i="3" s="1"/>
  <c r="B41" i="3" s="1"/>
  <c r="E12" i="3"/>
  <c r="B43" i="3"/>
  <c r="D74" i="4"/>
  <c r="F74" i="4" s="1"/>
  <c r="D59" i="13" s="1"/>
  <c r="B39" i="3"/>
  <c r="D45" i="3"/>
  <c r="G62" i="4"/>
  <c r="B59" i="13"/>
  <c r="H62" i="4"/>
  <c r="F61" i="4"/>
  <c r="K11" i="3"/>
  <c r="K25" i="3" s="1"/>
  <c r="G11" i="3"/>
  <c r="C39" i="3" s="1"/>
  <c r="F12" i="3" l="1"/>
  <c r="J12" i="3"/>
  <c r="J26" i="3" s="1"/>
  <c r="B40" i="3" s="1"/>
  <c r="F73" i="4"/>
  <c r="G73" i="4" s="1"/>
  <c r="G74" i="4"/>
  <c r="H74" i="4"/>
  <c r="G61" i="4"/>
  <c r="B58" i="13"/>
  <c r="F60" i="4"/>
  <c r="H61" i="4"/>
  <c r="G39" i="3"/>
  <c r="F39" i="3"/>
  <c r="H73" i="4" l="1"/>
  <c r="K12" i="3"/>
  <c r="K26" i="3" s="1"/>
  <c r="C18" i="3" s="1"/>
  <c r="C19" i="3" s="1"/>
  <c r="B25" i="3" s="1"/>
  <c r="B29" i="3" s="1"/>
  <c r="G12" i="3"/>
  <c r="C40" i="3" s="1"/>
  <c r="D58" i="13"/>
  <c r="F72" i="4"/>
  <c r="G72" i="4" s="1"/>
  <c r="G60" i="4"/>
  <c r="B57" i="13"/>
  <c r="F59" i="4"/>
  <c r="H60" i="4"/>
  <c r="F40" i="3" l="1"/>
  <c r="B44" i="3" s="1"/>
  <c r="G40" i="3"/>
  <c r="B45" i="3" s="1"/>
  <c r="H72" i="4"/>
  <c r="D57" i="13"/>
  <c r="F71" i="4"/>
  <c r="G71" i="4" s="1"/>
  <c r="G59" i="4"/>
  <c r="B56" i="13"/>
  <c r="F58" i="4"/>
  <c r="H59" i="4"/>
  <c r="H71" i="4" l="1"/>
  <c r="D56" i="13"/>
  <c r="F70" i="4"/>
  <c r="D55" i="13" s="1"/>
  <c r="G58" i="4"/>
  <c r="B55" i="13"/>
  <c r="F57" i="4"/>
  <c r="H58" i="4"/>
  <c r="G70" i="4"/>
  <c r="F69" i="4"/>
  <c r="H70" i="4" l="1"/>
  <c r="G57" i="4"/>
  <c r="G63" i="4" s="1"/>
  <c r="B54" i="13"/>
  <c r="H57" i="4"/>
  <c r="H63" i="4" s="1"/>
  <c r="G64" i="4" s="1"/>
  <c r="B13" i="9" s="1"/>
  <c r="I92" i="13" s="1"/>
  <c r="G69" i="4"/>
  <c r="G75" i="4" s="1"/>
  <c r="D54" i="13"/>
  <c r="H69" i="4"/>
  <c r="H75" i="4" s="1"/>
  <c r="G76" i="4" s="1"/>
  <c r="B13" i="11" l="1"/>
  <c r="H106" i="13"/>
</calcChain>
</file>

<file path=xl/sharedStrings.xml><?xml version="1.0" encoding="utf-8"?>
<sst xmlns="http://schemas.openxmlformats.org/spreadsheetml/2006/main" count="1070" uniqueCount="442">
  <si>
    <t>impalcato</t>
  </si>
  <si>
    <t>massa</t>
  </si>
  <si>
    <t>6+ tetto</t>
  </si>
  <si>
    <t>tot 1-6</t>
  </si>
  <si>
    <t>C1</t>
  </si>
  <si>
    <t>H</t>
  </si>
  <si>
    <t>T1</t>
  </si>
  <si>
    <t>Sd(T1)</t>
  </si>
  <si>
    <t>Vb</t>
  </si>
  <si>
    <t>V</t>
  </si>
  <si>
    <t>6-tetto</t>
  </si>
  <si>
    <t>TOT</t>
  </si>
  <si>
    <t>n pilastri</t>
  </si>
  <si>
    <t>n pilastri II ordine</t>
  </si>
  <si>
    <t xml:space="preserve"> h interpiano</t>
  </si>
  <si>
    <t>impal/ordine</t>
  </si>
  <si>
    <t>1 piede</t>
  </si>
  <si>
    <t>solaio del piano tipo</t>
  </si>
  <si>
    <t>g1k</t>
  </si>
  <si>
    <t>g2k+qk</t>
  </si>
  <si>
    <t>Totale in assenza di sisma</t>
  </si>
  <si>
    <t>solaio senza tramezzi</t>
  </si>
  <si>
    <t>sbalzo del piano tipo</t>
  </si>
  <si>
    <t>scala</t>
  </si>
  <si>
    <t>tamponature</t>
  </si>
  <si>
    <t>trave a spessore (60x27)</t>
  </si>
  <si>
    <t>pilastro(30x70)</t>
  </si>
  <si>
    <t>spessore solaio</t>
  </si>
  <si>
    <t>lmax</t>
  </si>
  <si>
    <t xml:space="preserve">prendiamo spessore </t>
  </si>
  <si>
    <t>tot</t>
  </si>
  <si>
    <t>Vpilastro(+20%)</t>
  </si>
  <si>
    <t>Mpilastro(20%)</t>
  </si>
  <si>
    <t>ECCENTRICITA(+20%) pilastri perimetrali</t>
  </si>
  <si>
    <t>M trave (20%)</t>
  </si>
  <si>
    <t>solaio a destra</t>
  </si>
  <si>
    <t>solaio a sinistra</t>
  </si>
  <si>
    <t>peso proprio trave</t>
  </si>
  <si>
    <t>in assenza di sisma</t>
  </si>
  <si>
    <t>in presenza di sisma</t>
  </si>
  <si>
    <t>coefficiente continuità</t>
  </si>
  <si>
    <t>trave emergente(30x60)</t>
  </si>
  <si>
    <t>carico su trave a spessore 12-13</t>
  </si>
  <si>
    <t>carico su trave emergente 20-23</t>
  </si>
  <si>
    <t>carico su trave spessore 12-17</t>
  </si>
  <si>
    <t>solaio</t>
  </si>
  <si>
    <t>travi</t>
  </si>
  <si>
    <t>carico su pilastro 21</t>
  </si>
  <si>
    <t>tamponatura esterna</t>
  </si>
  <si>
    <t>sbalzo</t>
  </si>
  <si>
    <t>coeff continuita</t>
  </si>
  <si>
    <t>area influenza solaio</t>
  </si>
  <si>
    <t>lunghezza trave</t>
  </si>
  <si>
    <t>lung tamponatura</t>
  </si>
  <si>
    <t>pilastro</t>
  </si>
  <si>
    <t>tamponatura</t>
  </si>
  <si>
    <t>lun sbalzo</t>
  </si>
  <si>
    <t>carico su pilastro 1</t>
  </si>
  <si>
    <t>area solaio</t>
  </si>
  <si>
    <t>lun trave</t>
  </si>
  <si>
    <t>pilastro 1</t>
  </si>
  <si>
    <t>pilastro 21</t>
  </si>
  <si>
    <t>M carichi verticali</t>
  </si>
  <si>
    <t>ql^2/10</t>
  </si>
  <si>
    <t>M sisma</t>
  </si>
  <si>
    <t xml:space="preserve">(piani inferiori e centrali)  </t>
  </si>
  <si>
    <t>sezione rettangolare</t>
  </si>
  <si>
    <t>b</t>
  </si>
  <si>
    <t>h</t>
  </si>
  <si>
    <t>?</t>
  </si>
  <si>
    <t>c</t>
  </si>
  <si>
    <t>Med</t>
  </si>
  <si>
    <t>fck</t>
  </si>
  <si>
    <t>r</t>
  </si>
  <si>
    <t>la sezione deve essere</t>
  </si>
  <si>
    <t>h=r(M/b)^(1/2)</t>
  </si>
  <si>
    <r>
      <rPr>
        <sz val="11"/>
        <color rgb="FF9C6500"/>
        <rFont val="Symbol"/>
        <family val="1"/>
        <charset val="2"/>
      </rPr>
      <t>g</t>
    </r>
    <r>
      <rPr>
        <sz val="11"/>
        <color rgb="FF9C6500"/>
        <rFont val="Calibri"/>
        <family val="2"/>
        <scheme val="minor"/>
      </rPr>
      <t>g1</t>
    </r>
  </si>
  <si>
    <r>
      <rPr>
        <sz val="11"/>
        <color rgb="FF9C6500"/>
        <rFont val="Symbol"/>
        <family val="1"/>
        <charset val="2"/>
      </rPr>
      <t>g</t>
    </r>
    <r>
      <rPr>
        <sz val="11"/>
        <color rgb="FF9C6500"/>
        <rFont val="Calibri"/>
        <family val="2"/>
        <scheme val="minor"/>
      </rPr>
      <t>g2</t>
    </r>
  </si>
  <si>
    <r>
      <rPr>
        <sz val="11"/>
        <color rgb="FF9C6500"/>
        <rFont val="Symbol"/>
        <family val="1"/>
        <charset val="2"/>
      </rPr>
      <t>g</t>
    </r>
    <r>
      <rPr>
        <sz val="11"/>
        <color rgb="FF9C6500"/>
        <rFont val="Calibri"/>
        <family val="2"/>
        <scheme val="minor"/>
      </rPr>
      <t>q</t>
    </r>
  </si>
  <si>
    <r>
      <t>Totale in presenza di sisma(gk+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</rPr>
      <t>2qk)</t>
    </r>
  </si>
  <si>
    <r>
      <rPr>
        <sz val="11"/>
        <color rgb="FF9C6500"/>
        <rFont val="Symbol"/>
        <family val="1"/>
        <charset val="2"/>
      </rPr>
      <t>y</t>
    </r>
    <r>
      <rPr>
        <sz val="11"/>
        <color rgb="FF9C6500"/>
        <rFont val="Calibri"/>
        <family val="2"/>
        <scheme val="minor"/>
      </rPr>
      <t>2</t>
    </r>
  </si>
  <si>
    <t>15-21</t>
  </si>
  <si>
    <t>area influenza sbalzo</t>
  </si>
  <si>
    <t>area solaio destra</t>
  </si>
  <si>
    <t>area solaio sinistra</t>
  </si>
  <si>
    <t>coeff continuità</t>
  </si>
  <si>
    <t>Ordine</t>
  </si>
  <si>
    <t>Ned( senza sisma)</t>
  </si>
  <si>
    <t>meno caricato</t>
  </si>
  <si>
    <t>più caricato</t>
  </si>
  <si>
    <t>Ned (senza sisma)</t>
  </si>
  <si>
    <t>classe di duttilità A</t>
  </si>
  <si>
    <t>(14 I DIREZIONE X E 13 IN DIREZIONE Y))</t>
  </si>
  <si>
    <t>M pilastro</t>
  </si>
  <si>
    <t>(incremeto per tener conto delle gerarchie delle resistenze)</t>
  </si>
  <si>
    <t xml:space="preserve">carico su trave emergente </t>
  </si>
  <si>
    <t>trave emergente 15-21</t>
  </si>
  <si>
    <t>M tot</t>
  </si>
  <si>
    <t>m</t>
  </si>
  <si>
    <t>I trave</t>
  </si>
  <si>
    <t>dimensionamento trave</t>
  </si>
  <si>
    <t>dimensionamento pilastri</t>
  </si>
  <si>
    <t>N pilastro 21</t>
  </si>
  <si>
    <t>N pilastro 1</t>
  </si>
  <si>
    <t>Ned (con sisma)</t>
  </si>
  <si>
    <t>delta N</t>
  </si>
  <si>
    <t>N(21)+delta N</t>
  </si>
  <si>
    <t>N(1)-delta N</t>
  </si>
  <si>
    <t>Mmax</t>
  </si>
  <si>
    <t>N max</t>
  </si>
  <si>
    <t>N min</t>
  </si>
  <si>
    <t>sezione 30x70</t>
  </si>
  <si>
    <t>ai piani superiori andremo a ridurre la sezione</t>
  </si>
  <si>
    <t>AL PIANO TIPO, direzione x</t>
  </si>
  <si>
    <t>Pilastro 30X70, 2 travi emergenti</t>
  </si>
  <si>
    <t>Pilastro 30x70, 1 trave emergente</t>
  </si>
  <si>
    <t>Pilastro 70x30, 2 travi emergenti</t>
  </si>
  <si>
    <t>Pilastro 70x30,1 trave emergente</t>
  </si>
  <si>
    <t>numero</t>
  </si>
  <si>
    <t>Kx</t>
  </si>
  <si>
    <t>Ktot</t>
  </si>
  <si>
    <t>AL PIANO TIPO, direzione y</t>
  </si>
  <si>
    <t>Ky</t>
  </si>
  <si>
    <t>Pilastro 70x30 2 trave a spessore</t>
  </si>
  <si>
    <t>Pilastro 70x30 1 trave a spessore</t>
  </si>
  <si>
    <t>Pilasto 30x70 2 travi a spessore</t>
  </si>
  <si>
    <t>Pilastro 30x70 1 trave a spessore</t>
  </si>
  <si>
    <t>emergente</t>
  </si>
  <si>
    <t>Kxtot</t>
  </si>
  <si>
    <t>Pilastro 30X60, 2 travi emergenti</t>
  </si>
  <si>
    <t>Pilastro 30x60, 1 trave emergente</t>
  </si>
  <si>
    <t>Pilasto 30x60 2 travi a spessore</t>
  </si>
  <si>
    <t>Pilastro 30x60 1 trave a spessore</t>
  </si>
  <si>
    <t>piano interrato, direzione y</t>
  </si>
  <si>
    <t>AL PIANO INTERRATO, direzione x</t>
  </si>
  <si>
    <t>Pilastro 60x30, 2 travi emergenti</t>
  </si>
  <si>
    <t>Pilastro 60x30,1 trave emergente</t>
  </si>
  <si>
    <t>Pilastro 60x30 2 trave a spessore</t>
  </si>
  <si>
    <t>Pilastro 60x30 1 trave a spessore</t>
  </si>
  <si>
    <t xml:space="preserve"> VI IMPALCATO, direzione y</t>
  </si>
  <si>
    <t xml:space="preserve"> VI IMPALCATO, direzione x</t>
  </si>
  <si>
    <t>ordine</t>
  </si>
  <si>
    <t>kx</t>
  </si>
  <si>
    <t>ky</t>
  </si>
  <si>
    <t>controllo del periodo</t>
  </si>
  <si>
    <t>dr</t>
  </si>
  <si>
    <t>mu^2</t>
  </si>
  <si>
    <t>u(x)</t>
  </si>
  <si>
    <t>Tx</t>
  </si>
  <si>
    <t>M</t>
  </si>
  <si>
    <t>Ty</t>
  </si>
  <si>
    <t>x pilastri equivalenti</t>
  </si>
  <si>
    <t>y pilastri equivalenti</t>
  </si>
  <si>
    <t>5-4-3-2</t>
  </si>
  <si>
    <t>piano tipo direzione x</t>
  </si>
  <si>
    <t>y=</t>
  </si>
  <si>
    <t>x=</t>
  </si>
  <si>
    <t>somma</t>
  </si>
  <si>
    <t>sy</t>
  </si>
  <si>
    <t>sy^2</t>
  </si>
  <si>
    <t>yGk</t>
  </si>
  <si>
    <t>yGm</t>
  </si>
  <si>
    <t>piano tipo direzione y</t>
  </si>
  <si>
    <t>s*y</t>
  </si>
  <si>
    <t>s*y^2</t>
  </si>
  <si>
    <t>xGk=</t>
  </si>
  <si>
    <t>xGm=</t>
  </si>
  <si>
    <t>piano interrato direzione x</t>
  </si>
  <si>
    <t>yGk=</t>
  </si>
  <si>
    <t>yGm=</t>
  </si>
  <si>
    <t>s*x</t>
  </si>
  <si>
    <t>s*x^2</t>
  </si>
  <si>
    <t>6(tetto)</t>
  </si>
  <si>
    <t>xGk</t>
  </si>
  <si>
    <t>xGm</t>
  </si>
  <si>
    <t>å kx</t>
  </si>
  <si>
    <t>å ky</t>
  </si>
  <si>
    <t>condizioni più gravose</t>
  </si>
  <si>
    <t>T1 calcolato conformula di normativa=</t>
  </si>
  <si>
    <t>0,709s</t>
  </si>
  <si>
    <t>iniazialmente si erano considerati</t>
  </si>
  <si>
    <t>pilastri lungo x</t>
  </si>
  <si>
    <t>pilastri lungo y</t>
  </si>
  <si>
    <t>piano interrato direzione y</t>
  </si>
  <si>
    <t>ultimo impalcato direzione x</t>
  </si>
  <si>
    <t>ultimo impalcato direzione y</t>
  </si>
  <si>
    <t>superficie[ m^2]</t>
  </si>
  <si>
    <t>z[m]</t>
  </si>
  <si>
    <t>Peso impalcato [kN]</t>
  </si>
  <si>
    <t>Peso Unitario[kN/m^2]</t>
  </si>
  <si>
    <t>W[kN]</t>
  </si>
  <si>
    <t>Wz[kNm]</t>
  </si>
  <si>
    <t>F[kN]</t>
  </si>
  <si>
    <t>V[kN]</t>
  </si>
  <si>
    <t>V pilastro[kN]</t>
  </si>
  <si>
    <t>braccio[m]</t>
  </si>
  <si>
    <t>M pilastro[kNm]</t>
  </si>
  <si>
    <t>M trave[kNm]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</si>
  <si>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  <scheme val="minor"/>
      </rPr>
      <t>N pilastro</t>
    </r>
  </si>
  <si>
    <t>d</t>
  </si>
  <si>
    <t>Mpil(PREVISIONE)</t>
  </si>
  <si>
    <t>Mpilastro(Analisi statica)</t>
  </si>
  <si>
    <t>1piede</t>
  </si>
  <si>
    <t>Mpilastro sisma  direzione x</t>
  </si>
  <si>
    <t>M pilastro sisma direzione y</t>
  </si>
  <si>
    <t>M travi previsione</t>
  </si>
  <si>
    <t>Msin trave( Analisi statica)</t>
  </si>
  <si>
    <t>Mdex(Analisi statica)</t>
  </si>
  <si>
    <t>M travi sisma direzione y</t>
  </si>
  <si>
    <t>Confronto rigidezze</t>
  </si>
  <si>
    <t>previsione</t>
  </si>
  <si>
    <t>Fx[kN]</t>
  </si>
  <si>
    <t>F[ykN]</t>
  </si>
  <si>
    <t>telaio 1 DIREZIONE X</t>
  </si>
  <si>
    <t>tel08(Analisi statica)</t>
  </si>
  <si>
    <t>telaio 2DIREZIONE X</t>
  </si>
  <si>
    <t>telaio 3 DIREZIONE X</t>
  </si>
  <si>
    <t>telaio 4 DIREZIONE X</t>
  </si>
  <si>
    <t>telaio 5 DIREZIONE X</t>
  </si>
  <si>
    <t>telaio 6 DIREZIONE X</t>
  </si>
  <si>
    <t>telaio 7 DIREZIONE X</t>
  </si>
  <si>
    <t>telaio 8 DIREZIONE y</t>
  </si>
  <si>
    <t>telaio 9 DIREZIONE y</t>
  </si>
  <si>
    <t>telaio 10 DIREZIONE y</t>
  </si>
  <si>
    <t>telaio 11 DIREZIONE y</t>
  </si>
  <si>
    <t>telaio 12 DIREZIONE y</t>
  </si>
  <si>
    <t>rot</t>
  </si>
  <si>
    <t>spostamenti tel 08</t>
  </si>
  <si>
    <t>1 comb</t>
  </si>
  <si>
    <t>2 comb</t>
  </si>
  <si>
    <t>2comb</t>
  </si>
  <si>
    <t>1comb</t>
  </si>
  <si>
    <t>xgk</t>
  </si>
  <si>
    <t>ygk</t>
  </si>
  <si>
    <t>confronti spostamenti</t>
  </si>
  <si>
    <t>u(y)</t>
  </si>
  <si>
    <t>Fuy</t>
  </si>
  <si>
    <t>Fux</t>
  </si>
  <si>
    <t>previsione ux</t>
  </si>
  <si>
    <t>tel08 ux</t>
  </si>
  <si>
    <t>previsione uy</t>
  </si>
  <si>
    <t>tel08 uy</t>
  </si>
  <si>
    <t>30x70</t>
  </si>
  <si>
    <t>APPROCCIO per tipologia di pilastro</t>
  </si>
  <si>
    <t>DELTA</t>
  </si>
  <si>
    <t>DELTA=</t>
  </si>
  <si>
    <t>all'ultimo superiori andremo a ridurre la sezione</t>
  </si>
  <si>
    <t>M travi emergenti sisma direzione x</t>
  </si>
  <si>
    <t>il momento varia in base alla posizione in pianta a causa della rotazione</t>
  </si>
  <si>
    <t>ux</t>
  </si>
  <si>
    <t>uy</t>
  </si>
  <si>
    <t>ux+rot*yg</t>
  </si>
  <si>
    <t>uy+rot*xg</t>
  </si>
  <si>
    <t>telaio 1</t>
  </si>
  <si>
    <t>telaio 7</t>
  </si>
  <si>
    <t>spostamenti in x telai 1 e 7</t>
  </si>
  <si>
    <t>spostamenti in y telai 8 e 12</t>
  </si>
  <si>
    <t>telaio 8</t>
  </si>
  <si>
    <t>telaio 12</t>
  </si>
  <si>
    <t>differenze</t>
  </si>
  <si>
    <t>masse piano tipo</t>
  </si>
  <si>
    <t>solaio piano tipo</t>
  </si>
  <si>
    <t>sbalzo piano tipo</t>
  </si>
  <si>
    <t xml:space="preserve">scala </t>
  </si>
  <si>
    <t>travi emergenti 30x70</t>
  </si>
  <si>
    <t xml:space="preserve">quantità </t>
  </si>
  <si>
    <t>peso</t>
  </si>
  <si>
    <t>travi a spessore 70x28</t>
  </si>
  <si>
    <t>pilastri 30x70</t>
  </si>
  <si>
    <t>tramezzi</t>
  </si>
  <si>
    <t>trave emergente(30x70)</t>
  </si>
  <si>
    <t>trave a spessore (70x28)</t>
  </si>
  <si>
    <t>28cm</t>
  </si>
  <si>
    <t>W totale</t>
  </si>
  <si>
    <t>massa piano tipo</t>
  </si>
  <si>
    <t>area</t>
  </si>
  <si>
    <t>peso medio</t>
  </si>
  <si>
    <t>masse ultimo impalcato</t>
  </si>
  <si>
    <t>masse primo impalcato</t>
  </si>
  <si>
    <t>quantità</t>
  </si>
  <si>
    <t>cornicione</t>
  </si>
  <si>
    <t>Riepilogo e confronti</t>
  </si>
  <si>
    <t>peso stimato</t>
  </si>
  <si>
    <t>peso medio stimato</t>
  </si>
  <si>
    <t>peso (KN)</t>
  </si>
  <si>
    <t>piano tipo</t>
  </si>
  <si>
    <t>campata</t>
  </si>
  <si>
    <t>carico presenza di sisma</t>
  </si>
  <si>
    <t>carico assenza di sisma</t>
  </si>
  <si>
    <t>peso trave(30x70)</t>
  </si>
  <si>
    <t xml:space="preserve">campata </t>
  </si>
  <si>
    <t>area di influenza solaio</t>
  </si>
  <si>
    <t>solaio sopra</t>
  </si>
  <si>
    <t>solaio sotto</t>
  </si>
  <si>
    <t>g2k</t>
  </si>
  <si>
    <t>peso trave(70x28)</t>
  </si>
  <si>
    <t>qk</t>
  </si>
  <si>
    <t>campata( 1-2)  (2-3 ) (3-4 ) (4-5) (16-17) (17-18)</t>
  </si>
  <si>
    <t>campata da (6-7) a (9-10) e (11-12) (12-13) e (22-23) e (23-24)</t>
  </si>
  <si>
    <t xml:space="preserve"> e (25-26) e (26-27)</t>
  </si>
  <si>
    <t>campata  (20-21)</t>
  </si>
  <si>
    <t>campata  (14-15)</t>
  </si>
  <si>
    <t>campata 13-14</t>
  </si>
  <si>
    <t>campata 2-7</t>
  </si>
  <si>
    <t>solaio sinistra</t>
  </si>
  <si>
    <t>solaio destra</t>
  </si>
  <si>
    <t>peso trave (30x70)</t>
  </si>
  <si>
    <t>peso trave (70x28)</t>
  </si>
  <si>
    <t>campata 3-8 e 8-13</t>
  </si>
  <si>
    <t>campata (1-6) (6-11) (11-16)</t>
  </si>
  <si>
    <t>campata (7-12) e (12-17)</t>
  </si>
  <si>
    <t>campata (5-10) (10-15) (15-21) (21-24) (24-27)</t>
  </si>
  <si>
    <t>campata 14-20</t>
  </si>
  <si>
    <t>campata (4-9 )(9-14) (20-23) (23_26)</t>
  </si>
  <si>
    <t>campata 19-22 e 22-25</t>
  </si>
  <si>
    <t>carichi in assenza di sisma</t>
  </si>
  <si>
    <t>carichi in presenza di sisma</t>
  </si>
  <si>
    <t>telaio</t>
  </si>
  <si>
    <t>1-2, 2-3 ,3-4,4-5</t>
  </si>
  <si>
    <t>6-7,7-8,8-9,9-10</t>
  </si>
  <si>
    <t xml:space="preserve">11-12,12-13 </t>
  </si>
  <si>
    <t>13-14</t>
  </si>
  <si>
    <t>14-15</t>
  </si>
  <si>
    <t>16-17,17-18</t>
  </si>
  <si>
    <t>19-20</t>
  </si>
  <si>
    <t>20-21</t>
  </si>
  <si>
    <t>22-23,23-24</t>
  </si>
  <si>
    <t>25-26,26-27</t>
  </si>
  <si>
    <t>1-6,6-11,11-16</t>
  </si>
  <si>
    <t>2-7,</t>
  </si>
  <si>
    <t>7-12,12-17</t>
  </si>
  <si>
    <t>3-8,8-13</t>
  </si>
  <si>
    <t>13-18</t>
  </si>
  <si>
    <t>18-19</t>
  </si>
  <si>
    <t>campata 13-18</t>
  </si>
  <si>
    <t>campata 18-19</t>
  </si>
  <si>
    <t>19-22,22-25</t>
  </si>
  <si>
    <t>4-9,9-14,20-23,23-26</t>
  </si>
  <si>
    <t>14-20</t>
  </si>
  <si>
    <t>5-10,10-15,15-21,21-24,24-27</t>
  </si>
  <si>
    <t>Controllo periodo direzione x</t>
  </si>
  <si>
    <t>masse</t>
  </si>
  <si>
    <t>forze x</t>
  </si>
  <si>
    <t>Fu(x)</t>
  </si>
  <si>
    <t>m*u(x)^2</t>
  </si>
  <si>
    <t>T (x)</t>
  </si>
  <si>
    <t>Controllo periodo direzione y</t>
  </si>
  <si>
    <t>forze y</t>
  </si>
  <si>
    <t>Fu(y)</t>
  </si>
  <si>
    <t>m*u(y)^2</t>
  </si>
  <si>
    <t>T(x)</t>
  </si>
  <si>
    <t>T(y)</t>
  </si>
  <si>
    <t>eccentricità accidentale</t>
  </si>
  <si>
    <t>per Fx  ea(m)</t>
  </si>
  <si>
    <t>per Fy ea(m)</t>
  </si>
  <si>
    <t xml:space="preserve">piano </t>
  </si>
  <si>
    <t>forze in direzione x</t>
  </si>
  <si>
    <t>ea(m)</t>
  </si>
  <si>
    <t>forze in direzione y</t>
  </si>
  <si>
    <t>raggio inerzia</t>
  </si>
  <si>
    <t>Confronti pilastri</t>
  </si>
  <si>
    <t>peso proprio trave (30x70)</t>
  </si>
  <si>
    <t>coeff</t>
  </si>
  <si>
    <t>area sbalzo</t>
  </si>
  <si>
    <t>(2--3)(3-4)</t>
  </si>
  <si>
    <t>campata (4-5)</t>
  </si>
  <si>
    <t>campata 16-17</t>
  </si>
  <si>
    <t>(solaio ortogonale all'orditura)</t>
  </si>
  <si>
    <t>tamp</t>
  </si>
  <si>
    <t>peso proprio</t>
  </si>
  <si>
    <t>COEFF</t>
  </si>
  <si>
    <t>Campata 17-18</t>
  </si>
  <si>
    <t>CAMPATA 22-25</t>
  </si>
  <si>
    <t>CAMPATA 19-22</t>
  </si>
  <si>
    <t>Area solaio</t>
  </si>
  <si>
    <t>campata  25-26</t>
  </si>
  <si>
    <t xml:space="preserve">area sbalzo </t>
  </si>
  <si>
    <t>campata 10-15 e 15-21</t>
  </si>
  <si>
    <t xml:space="preserve">coeff </t>
  </si>
  <si>
    <t>campata 21-24</t>
  </si>
  <si>
    <t>2-3 e 3-4</t>
  </si>
  <si>
    <t>4--5</t>
  </si>
  <si>
    <t>16-17</t>
  </si>
  <si>
    <t>17-18</t>
  </si>
  <si>
    <t>19-22</t>
  </si>
  <si>
    <t>22-25</t>
  </si>
  <si>
    <t>25-26</t>
  </si>
  <si>
    <t>26-27</t>
  </si>
  <si>
    <t>2--7</t>
  </si>
  <si>
    <t>10-15,15-21</t>
  </si>
  <si>
    <t>5-10,24-27</t>
  </si>
  <si>
    <t>21-24</t>
  </si>
  <si>
    <t>trave a spessore (60x28)</t>
  </si>
  <si>
    <t>travi emergenti 30x60</t>
  </si>
  <si>
    <t>travi a spessore 60x28</t>
  </si>
  <si>
    <t xml:space="preserve">campata 19-20 </t>
  </si>
  <si>
    <t>1-.2</t>
  </si>
  <si>
    <t>copertura TETTO</t>
  </si>
  <si>
    <t>massa piano interrato</t>
  </si>
  <si>
    <t>massa ultimo impalcato</t>
  </si>
  <si>
    <t>ai piani superiori (ultimo impalcato) passiamo a 30x60andremo a ridurre la sezione</t>
  </si>
  <si>
    <t>ai piani superiori andremo a ridurre la sezione(30x60)</t>
  </si>
  <si>
    <t>masse corrette</t>
  </si>
  <si>
    <t>Mpilastro analisi modale</t>
  </si>
  <si>
    <t>(-)326</t>
  </si>
  <si>
    <t>(-)296,8</t>
  </si>
  <si>
    <t>(-)291,9</t>
  </si>
  <si>
    <t>(-)316,9</t>
  </si>
  <si>
    <t>(-)39,19</t>
  </si>
  <si>
    <t>(-)102,71</t>
  </si>
  <si>
    <t>(-)159,73</t>
  </si>
  <si>
    <t>(-)207,2</t>
  </si>
  <si>
    <t>(-)241,96</t>
  </si>
  <si>
    <t>(-)231,62</t>
  </si>
  <si>
    <t>(-)33,97</t>
  </si>
  <si>
    <t>(-)91,44</t>
  </si>
  <si>
    <t>(-)147,48</t>
  </si>
  <si>
    <t>(-)197,37</t>
  </si>
  <si>
    <t>(-)234,68</t>
  </si>
  <si>
    <t>(-)251,85</t>
  </si>
  <si>
    <t>peso trave(60x28)</t>
  </si>
  <si>
    <t>campata  (19-20) e (20-21)</t>
  </si>
  <si>
    <t>peso trave(30x60)</t>
  </si>
  <si>
    <t>peso trave (60x28)</t>
  </si>
  <si>
    <t>peso trave (30x60)</t>
  </si>
  <si>
    <t>campata (4-9 )(9-14) (20-23) (23_26) e (14-20)</t>
  </si>
  <si>
    <t>campata 3-8 e 8-13 e 13-18</t>
  </si>
  <si>
    <t>13-14,14-15</t>
  </si>
  <si>
    <t>campata  (14-15) (13-14)</t>
  </si>
  <si>
    <t>11-12,12-13</t>
  </si>
  <si>
    <t>19-20 e 20-21</t>
  </si>
  <si>
    <t>campata da (6-7) a (12-13) e 22-23)  e (23-24)</t>
  </si>
  <si>
    <t>3-8,8-13 e 13-18</t>
  </si>
  <si>
    <t>solaio sopratetto</t>
  </si>
  <si>
    <t>solaio sottotetto</t>
  </si>
  <si>
    <t>soalio sopratetto</t>
  </si>
  <si>
    <t>differenze(mm)</t>
  </si>
  <si>
    <t>solaio copertura+ copertura</t>
  </si>
  <si>
    <t>pilastri 30x60</t>
  </si>
  <si>
    <t>Msin trave(Analisi modale)</t>
  </si>
  <si>
    <t>Mdes trave(Analisi modale)</t>
  </si>
  <si>
    <t>armatura 5-6f20 per questi valori di M 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</si>
</sst>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0.000"/>
    <numFmt numFmtId="166" formatCode="#,##0.0000"/>
    <numFmt numFmtId="167" formatCode="_-* #,##0.000_-;\-* #,##0.000_-;_-* &quot;-&quot;??_-;_-@_-"/>
    <numFmt numFmtId="168" formatCode="#,##0.000"/>
    <numFmt numFmtId="169" formatCode="_-* #,##0.0_-;\-* #,##0.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6500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sz val="11"/>
      <name val="Symbol"/>
      <family val="1"/>
      <charset val="2"/>
    </font>
    <font>
      <sz val="11"/>
      <color theme="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3F3F3F"/>
      </left>
      <right/>
      <top/>
      <bottom/>
      <diagonal/>
    </border>
    <border>
      <left style="thin">
        <color rgb="FFB2B2B2"/>
      </left>
      <right style="thin">
        <color rgb="FFB2B2B2"/>
      </right>
      <top/>
      <bottom/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  <xf numFmtId="0" fontId="5" fillId="5" borderId="0" applyNumberFormat="0" applyBorder="0" applyAlignment="0" applyProtection="0"/>
    <xf numFmtId="0" fontId="6" fillId="6" borderId="2" applyNumberFormat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43" fontId="1" fillId="0" borderId="0" applyFont="0" applyFill="0" applyBorder="0" applyAlignment="0" applyProtection="0"/>
    <xf numFmtId="0" fontId="1" fillId="13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4" borderId="3" xfId="3" applyFont="1" applyAlignment="1">
      <alignment horizontal="center"/>
    </xf>
    <xf numFmtId="165" fontId="0" fillId="4" borderId="3" xfId="3" applyNumberFormat="1" applyFont="1" applyAlignment="1">
      <alignment horizontal="center"/>
    </xf>
    <xf numFmtId="164" fontId="0" fillId="4" borderId="3" xfId="3" applyNumberFormat="1" applyFont="1" applyAlignment="1">
      <alignment horizontal="center"/>
    </xf>
    <xf numFmtId="0" fontId="3" fillId="2" borderId="0" xfId="1" applyAlignment="1">
      <alignment horizontal="center"/>
    </xf>
    <xf numFmtId="0" fontId="3" fillId="2" borderId="0" xfId="1"/>
    <xf numFmtId="0" fontId="0" fillId="4" borderId="3" xfId="3" applyFont="1"/>
    <xf numFmtId="0" fontId="4" fillId="3" borderId="1" xfId="2" applyAlignment="1">
      <alignment horizontal="center"/>
    </xf>
    <xf numFmtId="0" fontId="4" fillId="3" borderId="1" xfId="2"/>
    <xf numFmtId="164" fontId="4" fillId="3" borderId="1" xfId="2" applyNumberFormat="1"/>
    <xf numFmtId="0" fontId="0" fillId="4" borderId="3" xfId="3" applyFont="1" applyAlignment="1"/>
    <xf numFmtId="2" fontId="0" fillId="4" borderId="3" xfId="3" applyNumberFormat="1" applyFont="1" applyAlignment="1">
      <alignment horizontal="center"/>
    </xf>
    <xf numFmtId="43" fontId="0" fillId="4" borderId="3" xfId="3" applyNumberFormat="1" applyFont="1" applyAlignment="1">
      <alignment horizontal="center"/>
    </xf>
    <xf numFmtId="0" fontId="2" fillId="4" borderId="3" xfId="3" applyFont="1" applyAlignment="1">
      <alignment horizontal="center"/>
    </xf>
    <xf numFmtId="0" fontId="0" fillId="9" borderId="0" xfId="0" applyFill="1"/>
    <xf numFmtId="2" fontId="0" fillId="0" borderId="0" xfId="0" applyNumberFormat="1"/>
    <xf numFmtId="164" fontId="0" fillId="0" borderId="0" xfId="0" applyNumberFormat="1"/>
    <xf numFmtId="0" fontId="1" fillId="8" borderId="0" xfId="7"/>
    <xf numFmtId="2" fontId="1" fillId="8" borderId="0" xfId="7" applyNumberFormat="1" applyAlignment="1">
      <alignment horizontal="center"/>
    </xf>
    <xf numFmtId="0" fontId="0" fillId="8" borderId="0" xfId="7" applyFont="1"/>
    <xf numFmtId="2" fontId="4" fillId="3" borderId="1" xfId="2" applyNumberFormat="1"/>
    <xf numFmtId="2" fontId="1" fillId="7" borderId="0" xfId="6" applyNumberFormat="1"/>
    <xf numFmtId="2" fontId="3" fillId="2" borderId="0" xfId="1" applyNumberFormat="1"/>
    <xf numFmtId="2" fontId="3" fillId="2" borderId="0" xfId="1" applyNumberFormat="1" applyAlignment="1">
      <alignment horizontal="center"/>
    </xf>
    <xf numFmtId="0" fontId="6" fillId="6" borderId="0" xfId="5" applyBorder="1"/>
    <xf numFmtId="0" fontId="5" fillId="5" borderId="1" xfId="4" applyBorder="1"/>
    <xf numFmtId="2" fontId="5" fillId="5" borderId="1" xfId="4" applyNumberFormat="1" applyBorder="1" applyAlignment="1">
      <alignment horizontal="center"/>
    </xf>
    <xf numFmtId="0" fontId="1" fillId="10" borderId="0" xfId="8"/>
    <xf numFmtId="164" fontId="1" fillId="10" borderId="0" xfId="8" applyNumberFormat="1"/>
    <xf numFmtId="0" fontId="3" fillId="2" borderId="4" xfId="1" applyBorder="1"/>
    <xf numFmtId="0" fontId="5" fillId="5" borderId="5" xfId="4" applyBorder="1"/>
    <xf numFmtId="0" fontId="6" fillId="4" borderId="3" xfId="3" applyFont="1"/>
    <xf numFmtId="0" fontId="10" fillId="9" borderId="0" xfId="0" applyFont="1" applyFill="1"/>
    <xf numFmtId="0" fontId="0" fillId="4" borderId="3" xfId="3" applyFont="1" applyAlignment="1">
      <alignment horizontal="left"/>
    </xf>
    <xf numFmtId="0" fontId="6" fillId="4" borderId="3" xfId="3" applyFont="1" applyAlignment="1">
      <alignment horizontal="center"/>
    </xf>
    <xf numFmtId="0" fontId="11" fillId="4" borderId="3" xfId="3" applyFont="1" applyAlignment="1">
      <alignment horizontal="center"/>
    </xf>
    <xf numFmtId="0" fontId="0" fillId="0" borderId="0" xfId="0" applyFont="1" applyAlignment="1">
      <alignment horizontal="center"/>
    </xf>
    <xf numFmtId="0" fontId="6" fillId="6" borderId="2" xfId="5" applyAlignment="1">
      <alignment horizontal="center"/>
    </xf>
    <xf numFmtId="0" fontId="6" fillId="6" borderId="2" xfId="5"/>
    <xf numFmtId="2" fontId="1" fillId="10" borderId="0" xfId="8" applyNumberFormat="1"/>
    <xf numFmtId="0" fontId="0" fillId="11" borderId="0" xfId="7" applyFont="1" applyFill="1"/>
    <xf numFmtId="0" fontId="1" fillId="11" borderId="0" xfId="7" applyFill="1"/>
    <xf numFmtId="0" fontId="0" fillId="11" borderId="0" xfId="0" applyFill="1"/>
    <xf numFmtId="43" fontId="0" fillId="4" borderId="3" xfId="3" applyNumberFormat="1" applyFont="1" applyAlignment="1"/>
    <xf numFmtId="0" fontId="10" fillId="9" borderId="0" xfId="0" applyFont="1" applyFill="1" applyAlignment="1">
      <alignment horizontal="center"/>
    </xf>
    <xf numFmtId="0" fontId="6" fillId="6" borderId="6" xfId="5" applyBorder="1" applyAlignment="1">
      <alignment horizontal="center"/>
    </xf>
    <xf numFmtId="164" fontId="6" fillId="4" borderId="3" xfId="3" applyNumberFormat="1" applyFont="1" applyAlignment="1">
      <alignment horizontal="center"/>
    </xf>
    <xf numFmtId="2" fontId="6" fillId="4" borderId="3" xfId="3" applyNumberFormat="1" applyFont="1"/>
    <xf numFmtId="164" fontId="6" fillId="4" borderId="3" xfId="3" applyNumberFormat="1" applyFont="1"/>
    <xf numFmtId="2" fontId="6" fillId="4" borderId="3" xfId="3" applyNumberFormat="1" applyFont="1" applyAlignment="1">
      <alignment horizontal="center"/>
    </xf>
    <xf numFmtId="0" fontId="0" fillId="0" borderId="0" xfId="0" applyAlignment="1"/>
    <xf numFmtId="0" fontId="4" fillId="3" borderId="1" xfId="2" applyAlignme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 indent="1"/>
    </xf>
    <xf numFmtId="2" fontId="6" fillId="6" borderId="2" xfId="5" applyNumberFormat="1" applyAlignment="1">
      <alignment horizontal="center"/>
    </xf>
    <xf numFmtId="0" fontId="0" fillId="9" borderId="0" xfId="0" applyFill="1" applyAlignment="1">
      <alignment horizontal="center"/>
    </xf>
    <xf numFmtId="2" fontId="0" fillId="9" borderId="0" xfId="0" applyNumberFormat="1" applyFill="1" applyAlignment="1">
      <alignment horizontal="center"/>
    </xf>
    <xf numFmtId="2" fontId="0" fillId="9" borderId="0" xfId="0" applyNumberFormat="1" applyFill="1"/>
    <xf numFmtId="166" fontId="0" fillId="9" borderId="0" xfId="0" applyNumberFormat="1" applyFill="1" applyAlignment="1">
      <alignment horizontal="center"/>
    </xf>
    <xf numFmtId="0" fontId="6" fillId="6" borderId="2" xfId="5" applyAlignment="1"/>
    <xf numFmtId="165" fontId="4" fillId="3" borderId="1" xfId="2" applyNumberFormat="1"/>
    <xf numFmtId="0" fontId="1" fillId="4" borderId="3" xfId="3" applyAlignment="1">
      <alignment horizontal="center"/>
    </xf>
    <xf numFmtId="164" fontId="1" fillId="4" borderId="3" xfId="3" applyNumberFormat="1" applyAlignment="1">
      <alignment horizontal="center"/>
    </xf>
    <xf numFmtId="0" fontId="1" fillId="4" borderId="3" xfId="3"/>
    <xf numFmtId="0" fontId="3" fillId="4" borderId="3" xfId="3" applyFont="1" applyAlignment="1">
      <alignment horizontal="center"/>
    </xf>
    <xf numFmtId="1" fontId="3" fillId="4" borderId="3" xfId="3" applyNumberFormat="1" applyFont="1" applyAlignment="1">
      <alignment horizontal="center"/>
    </xf>
    <xf numFmtId="2" fontId="3" fillId="4" borderId="3" xfId="3" applyNumberFormat="1" applyFont="1" applyAlignment="1">
      <alignment horizontal="center"/>
    </xf>
    <xf numFmtId="164" fontId="3" fillId="4" borderId="3" xfId="3" applyNumberFormat="1" applyFont="1" applyAlignment="1">
      <alignment horizontal="center"/>
    </xf>
    <xf numFmtId="0" fontId="3" fillId="4" borderId="3" xfId="3" applyFont="1"/>
    <xf numFmtId="164" fontId="6" fillId="6" borderId="2" xfId="5" applyNumberFormat="1" applyAlignment="1">
      <alignment horizontal="center"/>
    </xf>
    <xf numFmtId="164" fontId="1" fillId="4" borderId="3" xfId="3" applyNumberFormat="1"/>
    <xf numFmtId="165" fontId="1" fillId="4" borderId="3" xfId="3" applyNumberFormat="1"/>
    <xf numFmtId="0" fontId="1" fillId="9" borderId="3" xfId="3" applyFill="1"/>
    <xf numFmtId="0" fontId="0" fillId="9" borderId="3" xfId="3" applyFont="1" applyFill="1"/>
    <xf numFmtId="165" fontId="1" fillId="4" borderId="3" xfId="3" applyNumberFormat="1" applyAlignment="1">
      <alignment horizontal="center"/>
    </xf>
    <xf numFmtId="2" fontId="1" fillId="4" borderId="3" xfId="3" applyNumberFormat="1"/>
    <xf numFmtId="0" fontId="12" fillId="4" borderId="3" xfId="3" applyFont="1" applyAlignment="1">
      <alignment horizontal="center"/>
    </xf>
    <xf numFmtId="164" fontId="12" fillId="4" borderId="3" xfId="3" applyNumberFormat="1" applyFont="1" applyAlignment="1">
      <alignment horizontal="center"/>
    </xf>
    <xf numFmtId="164" fontId="12" fillId="4" borderId="3" xfId="3" applyNumberFormat="1" applyFont="1"/>
    <xf numFmtId="2" fontId="12" fillId="4" borderId="3" xfId="3" applyNumberFormat="1" applyFont="1"/>
    <xf numFmtId="0" fontId="12" fillId="4" borderId="3" xfId="3" applyFont="1"/>
    <xf numFmtId="2" fontId="12" fillId="4" borderId="3" xfId="3" applyNumberFormat="1" applyFont="1" applyAlignment="1">
      <alignment horizontal="center"/>
    </xf>
    <xf numFmtId="2" fontId="11" fillId="4" borderId="3" xfId="3" applyNumberFormat="1" applyFont="1" applyAlignment="1">
      <alignment horizontal="center"/>
    </xf>
    <xf numFmtId="167" fontId="0" fillId="0" borderId="0" xfId="9" applyNumberFormat="1" applyFont="1" applyAlignment="1">
      <alignment horizontal="left"/>
    </xf>
    <xf numFmtId="0" fontId="8" fillId="0" borderId="0" xfId="0" applyFont="1"/>
    <xf numFmtId="166" fontId="0" fillId="0" borderId="0" xfId="0" applyNumberFormat="1"/>
    <xf numFmtId="168" fontId="0" fillId="0" borderId="0" xfId="0" applyNumberFormat="1"/>
    <xf numFmtId="165" fontId="0" fillId="0" borderId="0" xfId="0" applyNumberFormat="1"/>
    <xf numFmtId="2" fontId="0" fillId="4" borderId="3" xfId="3" applyNumberFormat="1" applyFont="1"/>
    <xf numFmtId="2" fontId="0" fillId="9" borderId="3" xfId="3" applyNumberFormat="1" applyFont="1" applyFill="1" applyAlignment="1">
      <alignment horizontal="center"/>
    </xf>
    <xf numFmtId="0" fontId="15" fillId="4" borderId="3" xfId="3" applyFont="1"/>
    <xf numFmtId="0" fontId="15" fillId="4" borderId="3" xfId="3" applyFont="1" applyAlignment="1">
      <alignment horizontal="center"/>
    </xf>
    <xf numFmtId="165" fontId="15" fillId="4" borderId="3" xfId="3" applyNumberFormat="1" applyFont="1"/>
    <xf numFmtId="0" fontId="16" fillId="4" borderId="3" xfId="3" applyFont="1" applyAlignment="1">
      <alignment horizontal="center"/>
    </xf>
    <xf numFmtId="0" fontId="15" fillId="12" borderId="3" xfId="3" applyFont="1" applyFill="1"/>
    <xf numFmtId="0" fontId="0" fillId="12" borderId="0" xfId="0" applyFill="1"/>
    <xf numFmtId="0" fontId="12" fillId="9" borderId="3" xfId="3" applyFont="1" applyFill="1" applyAlignment="1">
      <alignment horizontal="center"/>
    </xf>
    <xf numFmtId="0" fontId="10" fillId="4" borderId="3" xfId="3" applyFont="1"/>
    <xf numFmtId="0" fontId="10" fillId="4" borderId="3" xfId="3" applyFont="1" applyAlignment="1">
      <alignment horizontal="center"/>
    </xf>
    <xf numFmtId="0" fontId="17" fillId="4" borderId="3" xfId="3" applyFont="1" applyAlignment="1">
      <alignment horizontal="center"/>
    </xf>
    <xf numFmtId="0" fontId="10" fillId="0" borderId="0" xfId="0" applyFont="1"/>
    <xf numFmtId="0" fontId="0" fillId="4" borderId="7" xfId="3" applyFont="1" applyBorder="1" applyAlignment="1">
      <alignment horizontal="center"/>
    </xf>
    <xf numFmtId="43" fontId="0" fillId="4" borderId="3" xfId="3" applyNumberFormat="1" applyFont="1"/>
    <xf numFmtId="43" fontId="0" fillId="0" borderId="0" xfId="0" applyNumberFormat="1"/>
    <xf numFmtId="0" fontId="1" fillId="13" borderId="1" xfId="10" applyBorder="1"/>
    <xf numFmtId="0" fontId="1" fillId="13" borderId="1" xfId="10" applyBorder="1" applyAlignment="1">
      <alignment horizontal="center"/>
    </xf>
    <xf numFmtId="0" fontId="1" fillId="9" borderId="1" xfId="10" applyFill="1" applyBorder="1"/>
    <xf numFmtId="0" fontId="0" fillId="9" borderId="1" xfId="10" applyFont="1" applyFill="1" applyBorder="1"/>
    <xf numFmtId="2" fontId="4" fillId="3" borderId="1" xfId="2" applyNumberFormat="1" applyAlignment="1">
      <alignment horizontal="center"/>
    </xf>
    <xf numFmtId="164" fontId="4" fillId="3" borderId="1" xfId="2" applyNumberFormat="1" applyAlignment="1">
      <alignment horizontal="center"/>
    </xf>
    <xf numFmtId="165" fontId="6" fillId="9" borderId="3" xfId="3" applyNumberFormat="1" applyFont="1" applyFill="1" applyAlignment="1">
      <alignment horizontal="center"/>
    </xf>
    <xf numFmtId="164" fontId="1" fillId="13" borderId="1" xfId="10" applyNumberFormat="1" applyBorder="1" applyAlignment="1">
      <alignment horizontal="center"/>
    </xf>
    <xf numFmtId="2" fontId="1" fillId="13" borderId="1" xfId="10" applyNumberFormat="1" applyBorder="1" applyAlignment="1">
      <alignment horizontal="center"/>
    </xf>
    <xf numFmtId="0" fontId="6" fillId="9" borderId="2" xfId="5" applyFill="1"/>
    <xf numFmtId="165" fontId="6" fillId="9" borderId="2" xfId="5" applyNumberFormat="1" applyFill="1"/>
    <xf numFmtId="0" fontId="14" fillId="9" borderId="0" xfId="0" applyFont="1" applyFill="1"/>
    <xf numFmtId="0" fontId="19" fillId="14" borderId="3" xfId="3" applyFont="1" applyFill="1" applyAlignment="1">
      <alignment horizontal="center"/>
    </xf>
    <xf numFmtId="0" fontId="18" fillId="14" borderId="3" xfId="3" applyFont="1" applyFill="1"/>
    <xf numFmtId="2" fontId="1" fillId="4" borderId="3" xfId="3" applyNumberFormat="1" applyAlignment="1">
      <alignment horizontal="right"/>
    </xf>
    <xf numFmtId="43" fontId="1" fillId="4" borderId="3" xfId="3" applyNumberFormat="1" applyAlignment="1">
      <alignment horizontal="right"/>
    </xf>
    <xf numFmtId="16" fontId="1" fillId="4" borderId="3" xfId="3" applyNumberFormat="1" applyAlignment="1">
      <alignment horizontal="center"/>
    </xf>
    <xf numFmtId="0" fontId="1" fillId="4" borderId="3" xfId="3" applyAlignment="1">
      <alignment horizontal="right"/>
    </xf>
    <xf numFmtId="0" fontId="0" fillId="14" borderId="0" xfId="0" applyNumberFormat="1" applyFill="1"/>
    <xf numFmtId="0" fontId="0" fillId="14" borderId="0" xfId="0" applyFill="1"/>
    <xf numFmtId="16" fontId="0" fillId="4" borderId="3" xfId="3" applyNumberFormat="1" applyFont="1" applyAlignment="1">
      <alignment horizontal="center"/>
    </xf>
    <xf numFmtId="0" fontId="18" fillId="14" borderId="0" xfId="0" applyFont="1" applyFill="1"/>
    <xf numFmtId="0" fontId="18" fillId="14" borderId="0" xfId="0" applyFont="1" applyFill="1" applyAlignment="1">
      <alignment horizontal="center"/>
    </xf>
    <xf numFmtId="2" fontId="0" fillId="4" borderId="7" xfId="3" applyNumberFormat="1" applyFont="1" applyBorder="1" applyAlignment="1">
      <alignment horizontal="center"/>
    </xf>
    <xf numFmtId="2" fontId="1" fillId="4" borderId="3" xfId="3" applyNumberFormat="1" applyAlignment="1">
      <alignment horizontal="center"/>
    </xf>
    <xf numFmtId="0" fontId="5" fillId="5" borderId="2" xfId="4" applyBorder="1"/>
    <xf numFmtId="2" fontId="5" fillId="5" borderId="2" xfId="4" applyNumberFormat="1" applyBorder="1"/>
    <xf numFmtId="0" fontId="0" fillId="15" borderId="3" xfId="3" applyFont="1" applyFill="1"/>
    <xf numFmtId="0" fontId="0" fillId="15" borderId="3" xfId="3" applyFont="1" applyFill="1" applyAlignment="1">
      <alignment horizontal="center"/>
    </xf>
    <xf numFmtId="0" fontId="17" fillId="15" borderId="3" xfId="3" applyFont="1" applyFill="1" applyAlignment="1">
      <alignment horizontal="center"/>
    </xf>
    <xf numFmtId="0" fontId="10" fillId="15" borderId="3" xfId="3" applyFont="1" applyFill="1" applyAlignment="1">
      <alignment horizontal="center"/>
    </xf>
    <xf numFmtId="0" fontId="1" fillId="4" borderId="3" xfId="3" applyFont="1" applyAlignment="1">
      <alignment horizontal="center"/>
    </xf>
    <xf numFmtId="2" fontId="1" fillId="4" borderId="3" xfId="3" applyNumberFormat="1" applyFont="1" applyAlignment="1">
      <alignment horizontal="center"/>
    </xf>
    <xf numFmtId="43" fontId="1" fillId="4" borderId="3" xfId="3" applyNumberFormat="1" applyFont="1" applyAlignment="1">
      <alignment horizontal="center"/>
    </xf>
    <xf numFmtId="169" fontId="10" fillId="4" borderId="3" xfId="3" applyNumberFormat="1" applyFont="1" applyAlignment="1">
      <alignment horizontal="center"/>
    </xf>
    <xf numFmtId="0" fontId="10" fillId="4" borderId="3" xfId="3" applyFont="1" applyAlignment="1">
      <alignment horizontal="left"/>
    </xf>
    <xf numFmtId="164" fontId="10" fillId="4" borderId="3" xfId="3" applyNumberFormat="1" applyFont="1" applyAlignment="1">
      <alignment horizontal="center"/>
    </xf>
    <xf numFmtId="0" fontId="1" fillId="4" borderId="3" xfId="3" applyFont="1"/>
    <xf numFmtId="2" fontId="10" fillId="4" borderId="3" xfId="3" applyNumberFormat="1" applyFont="1"/>
    <xf numFmtId="164" fontId="10" fillId="4" borderId="3" xfId="3" applyNumberFormat="1" applyFont="1"/>
    <xf numFmtId="169" fontId="10" fillId="4" borderId="3" xfId="3" applyNumberFormat="1" applyFont="1" applyAlignment="1"/>
    <xf numFmtId="169" fontId="1" fillId="4" borderId="3" xfId="3" applyNumberFormat="1" applyFont="1" applyAlignment="1"/>
    <xf numFmtId="164" fontId="1" fillId="4" borderId="3" xfId="3" applyNumberFormat="1" applyFont="1" applyAlignment="1"/>
    <xf numFmtId="169" fontId="0" fillId="4" borderId="3" xfId="3" applyNumberFormat="1" applyFont="1"/>
    <xf numFmtId="1" fontId="12" fillId="4" borderId="3" xfId="3" applyNumberFormat="1" applyFont="1" applyAlignment="1">
      <alignment horizontal="center"/>
    </xf>
    <xf numFmtId="2" fontId="6" fillId="9" borderId="3" xfId="3" applyNumberFormat="1" applyFont="1" applyFill="1" applyAlignment="1">
      <alignment horizontal="center"/>
    </xf>
    <xf numFmtId="165" fontId="1" fillId="9" borderId="1" xfId="10" applyNumberFormat="1" applyFill="1" applyBorder="1"/>
    <xf numFmtId="165" fontId="0" fillId="9" borderId="0" xfId="0" applyNumberFormat="1" applyFill="1"/>
    <xf numFmtId="2" fontId="1" fillId="4" borderId="3" xfId="3" applyNumberFormat="1" applyFont="1"/>
    <xf numFmtId="164" fontId="10" fillId="4" borderId="3" xfId="3" applyNumberFormat="1" applyFont="1" applyAlignment="1"/>
    <xf numFmtId="164" fontId="1" fillId="4" borderId="3" xfId="3" applyNumberFormat="1" applyFont="1" applyAlignment="1">
      <alignment horizontal="center"/>
    </xf>
    <xf numFmtId="0" fontId="1" fillId="12" borderId="3" xfId="3" applyFill="1"/>
    <xf numFmtId="0" fontId="0" fillId="12" borderId="3" xfId="3" applyFont="1" applyFill="1"/>
  </cellXfs>
  <cellStyles count="11">
    <cellStyle name="20% - Colore 1" xfId="10" builtinId="30"/>
    <cellStyle name="20% - Colore 3" xfId="6" builtinId="38"/>
    <cellStyle name="20% - Colore 4" xfId="7" builtinId="42"/>
    <cellStyle name="40% - Colore 6" xfId="8" builtinId="51"/>
    <cellStyle name="Input" xfId="2" builtinId="20"/>
    <cellStyle name="Migliaia" xfId="9" builtinId="3"/>
    <cellStyle name="Neutrale" xfId="1" builtinId="28"/>
    <cellStyle name="Normale" xfId="0" builtinId="0"/>
    <cellStyle name="Nota" xfId="3" builtinId="10"/>
    <cellStyle name="Output" xfId="5" builtinId="21"/>
    <cellStyle name="Valore valido" xfId="4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3</xdr:col>
      <xdr:colOff>838200</xdr:colOff>
      <xdr:row>63</xdr:row>
      <xdr:rowOff>85725</xdr:rowOff>
    </xdr:to>
    <xdr:pic>
      <xdr:nvPicPr>
        <xdr:cNvPr id="2" name="Immagine 1" descr="Cattura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0"/>
          <a:ext cx="4038600" cy="2943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ichi%20unitari%20Purrazzo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176">
          <cell r="E176">
            <v>5.1269999999999998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zoomScale="60" zoomScaleNormal="60" workbookViewId="0">
      <selection activeCell="I22" sqref="I22"/>
    </sheetView>
  </sheetViews>
  <sheetFormatPr defaultRowHeight="15" x14ac:dyDescent="0.25"/>
  <cols>
    <col min="1" max="1" width="24" customWidth="1"/>
    <col min="2" max="2" width="16.85546875" customWidth="1"/>
    <col min="3" max="3" width="16.7109375" customWidth="1"/>
    <col min="4" max="4" width="22.7109375" customWidth="1"/>
    <col min="5" max="5" width="20.5703125" customWidth="1"/>
  </cols>
  <sheetData>
    <row r="1" spans="1:11" x14ac:dyDescent="0.25">
      <c r="A1" s="2"/>
      <c r="B1" s="2" t="s">
        <v>18</v>
      </c>
      <c r="C1" s="2" t="s">
        <v>19</v>
      </c>
      <c r="D1" s="2" t="s">
        <v>20</v>
      </c>
      <c r="E1" s="11" t="s">
        <v>79</v>
      </c>
      <c r="F1" s="7"/>
      <c r="G1" s="7"/>
    </row>
    <row r="2" spans="1:11" x14ac:dyDescent="0.25">
      <c r="A2" s="2" t="s">
        <v>17</v>
      </c>
      <c r="B2" s="2">
        <f>3.68+1.94</f>
        <v>5.62</v>
      </c>
      <c r="C2" s="12">
        <f>1.2+2</f>
        <v>3.2</v>
      </c>
      <c r="D2" s="12">
        <f>B2*$H$5+C2*$I$5</f>
        <v>12.106000000000002</v>
      </c>
      <c r="E2" s="12">
        <f>(B2+1.2)+(2*$K$5)</f>
        <v>7.42</v>
      </c>
    </row>
    <row r="3" spans="1:11" x14ac:dyDescent="0.25">
      <c r="A3" s="2" t="s">
        <v>21</v>
      </c>
      <c r="B3" s="2">
        <f>B2</f>
        <v>5.62</v>
      </c>
      <c r="C3" s="44">
        <v>2</v>
      </c>
      <c r="D3" s="12">
        <f t="shared" ref="D3:D9" si="0">B3*$H$5+C3*$I$5</f>
        <v>10.306000000000001</v>
      </c>
      <c r="E3" s="12">
        <f>B3+C3*$K$5</f>
        <v>6.22</v>
      </c>
    </row>
    <row r="4" spans="1:11" x14ac:dyDescent="0.25">
      <c r="A4" s="2" t="s">
        <v>22</v>
      </c>
      <c r="B4" s="2">
        <f>3.15+2.18</f>
        <v>5.33</v>
      </c>
      <c r="C4" s="12">
        <v>4</v>
      </c>
      <c r="D4" s="12">
        <f t="shared" si="0"/>
        <v>12.929</v>
      </c>
      <c r="E4" s="12">
        <f>B4+C4*$K$5</f>
        <v>6.53</v>
      </c>
      <c r="H4" s="6" t="s">
        <v>76</v>
      </c>
      <c r="I4" s="6" t="s">
        <v>77</v>
      </c>
      <c r="J4" s="6" t="s">
        <v>78</v>
      </c>
      <c r="K4" s="6" t="s">
        <v>80</v>
      </c>
    </row>
    <row r="5" spans="1:11" x14ac:dyDescent="0.25">
      <c r="A5" s="2" t="s">
        <v>23</v>
      </c>
      <c r="B5" s="13">
        <v>5</v>
      </c>
      <c r="C5" s="12">
        <v>4</v>
      </c>
      <c r="D5" s="12">
        <f t="shared" si="0"/>
        <v>12.5</v>
      </c>
      <c r="E5" s="12">
        <v>7.4</v>
      </c>
      <c r="H5" s="5">
        <v>1.3</v>
      </c>
      <c r="I5" s="5">
        <v>1.5</v>
      </c>
      <c r="J5" s="5">
        <v>1.5</v>
      </c>
      <c r="K5" s="5">
        <v>0.3</v>
      </c>
    </row>
    <row r="6" spans="1:11" x14ac:dyDescent="0.25">
      <c r="A6" s="2" t="s">
        <v>24</v>
      </c>
      <c r="B6" s="12">
        <v>10.48</v>
      </c>
      <c r="C6" s="12">
        <v>0</v>
      </c>
      <c r="D6" s="12">
        <f t="shared" si="0"/>
        <v>13.624000000000001</v>
      </c>
      <c r="E6" s="12">
        <f>B6+C6*$K$5</f>
        <v>10.48</v>
      </c>
      <c r="H6" s="6"/>
      <c r="I6" s="6"/>
      <c r="J6" s="6"/>
      <c r="K6" s="6"/>
    </row>
    <row r="7" spans="1:11" x14ac:dyDescent="0.25">
      <c r="A7" s="14" t="s">
        <v>25</v>
      </c>
      <c r="B7" s="2">
        <v>3.05</v>
      </c>
      <c r="C7" s="12">
        <v>0</v>
      </c>
      <c r="D7" s="12">
        <f t="shared" si="0"/>
        <v>3.9649999999999999</v>
      </c>
      <c r="E7" s="12">
        <f>B7+C7*$K$5</f>
        <v>3.05</v>
      </c>
      <c r="H7" s="6" t="s">
        <v>28</v>
      </c>
      <c r="I7" s="6">
        <v>7</v>
      </c>
      <c r="J7" s="6"/>
      <c r="K7" s="6"/>
    </row>
    <row r="8" spans="1:11" x14ac:dyDescent="0.25">
      <c r="A8" s="2" t="s">
        <v>41</v>
      </c>
      <c r="B8" s="2">
        <v>3.35</v>
      </c>
      <c r="C8" s="12">
        <v>0</v>
      </c>
      <c r="D8" s="12">
        <f>B8*$H$5+C8*$I$5</f>
        <v>4.3550000000000004</v>
      </c>
      <c r="E8" s="12">
        <f>B8+C8*$K$5</f>
        <v>3.35</v>
      </c>
      <c r="H8" s="6"/>
      <c r="I8" s="6"/>
      <c r="J8" s="6"/>
      <c r="K8" s="6"/>
    </row>
    <row r="9" spans="1:11" x14ac:dyDescent="0.25">
      <c r="A9" s="2" t="s">
        <v>26</v>
      </c>
      <c r="B9" s="2">
        <v>14.18</v>
      </c>
      <c r="C9" s="12">
        <v>0</v>
      </c>
      <c r="D9" s="12">
        <f t="shared" si="0"/>
        <v>18.434000000000001</v>
      </c>
      <c r="E9" s="12">
        <f>B9+C9*$K$5</f>
        <v>14.18</v>
      </c>
      <c r="H9" s="6" t="s">
        <v>27</v>
      </c>
      <c r="I9" s="6"/>
      <c r="J9" s="6">
        <f>1/25*I7</f>
        <v>0.28000000000000003</v>
      </c>
      <c r="K9" s="6"/>
    </row>
    <row r="10" spans="1:11" x14ac:dyDescent="0.25">
      <c r="A10" s="7"/>
      <c r="B10" s="7"/>
      <c r="C10" s="7"/>
      <c r="D10" s="7"/>
      <c r="E10" s="7"/>
      <c r="H10" s="6"/>
      <c r="I10" s="6"/>
      <c r="J10" s="6"/>
      <c r="K10" s="6"/>
    </row>
    <row r="11" spans="1:11" x14ac:dyDescent="0.25">
      <c r="A11" s="2" t="s">
        <v>30</v>
      </c>
      <c r="B11" s="7"/>
      <c r="C11" s="7"/>
      <c r="D11" s="4">
        <f>SUM(D2:D9)</f>
        <v>88.219000000000008</v>
      </c>
      <c r="E11" s="4">
        <f>SUM(E2:E9)</f>
        <v>58.629999999999995</v>
      </c>
      <c r="H11" s="6" t="s">
        <v>29</v>
      </c>
      <c r="I11" s="6"/>
      <c r="J11" s="5" t="s">
        <v>272</v>
      </c>
      <c r="K11" s="6"/>
    </row>
    <row r="14" spans="1:11" x14ac:dyDescent="0.25">
      <c r="A14" s="20" t="s">
        <v>95</v>
      </c>
      <c r="B14" s="18" t="s">
        <v>81</v>
      </c>
      <c r="C14" s="18"/>
    </row>
    <row r="15" spans="1:11" x14ac:dyDescent="0.25">
      <c r="A15" s="18"/>
      <c r="B15" s="18" t="s">
        <v>38</v>
      </c>
      <c r="C15" s="18" t="s">
        <v>39</v>
      </c>
    </row>
    <row r="16" spans="1:11" x14ac:dyDescent="0.25">
      <c r="A16" s="18" t="s">
        <v>35</v>
      </c>
      <c r="B16" s="19">
        <f>D2*J16*F17</f>
        <v>43.991993400000005</v>
      </c>
      <c r="C16" s="19">
        <f>E2*J16*F17</f>
        <v>26.963538</v>
      </c>
      <c r="E16" s="15" t="s">
        <v>40</v>
      </c>
      <c r="F16" s="15">
        <v>1.1000000000000001</v>
      </c>
      <c r="H16" s="28" t="s">
        <v>51</v>
      </c>
      <c r="I16" s="28"/>
      <c r="J16" s="40">
        <f>7.2678/2</f>
        <v>3.6339000000000001</v>
      </c>
    </row>
    <row r="17" spans="1:10" x14ac:dyDescent="0.25">
      <c r="A17" s="18" t="s">
        <v>49</v>
      </c>
      <c r="B17" s="19">
        <f>D4*J17</f>
        <v>25.858000000000001</v>
      </c>
      <c r="C17" s="19">
        <f>E4*J17</f>
        <v>13.06</v>
      </c>
      <c r="F17" s="15">
        <v>1</v>
      </c>
      <c r="H17" s="28" t="s">
        <v>82</v>
      </c>
      <c r="I17" s="28"/>
      <c r="J17" s="28">
        <v>2</v>
      </c>
    </row>
    <row r="18" spans="1:10" x14ac:dyDescent="0.25">
      <c r="A18" s="18" t="s">
        <v>37</v>
      </c>
      <c r="B18" s="19">
        <f>D8</f>
        <v>4.3550000000000004</v>
      </c>
      <c r="C18" s="19">
        <f>E8</f>
        <v>3.35</v>
      </c>
    </row>
    <row r="19" spans="1:10" x14ac:dyDescent="0.25">
      <c r="A19" s="18" t="s">
        <v>55</v>
      </c>
      <c r="B19" s="19">
        <f>D6</f>
        <v>13.624000000000001</v>
      </c>
      <c r="C19" s="19">
        <f>E6</f>
        <v>10.48</v>
      </c>
    </row>
    <row r="20" spans="1:10" x14ac:dyDescent="0.25">
      <c r="A20" s="18" t="s">
        <v>30</v>
      </c>
      <c r="B20" s="19">
        <f>SUM(B16:B19)</f>
        <v>87.828993400000002</v>
      </c>
      <c r="C20" s="19">
        <f>SUM(C16:C19)</f>
        <v>53.853538</v>
      </c>
      <c r="E20" s="16"/>
    </row>
    <row r="22" spans="1:10" x14ac:dyDescent="0.25">
      <c r="A22" s="18" t="s">
        <v>42</v>
      </c>
      <c r="B22" s="18"/>
      <c r="C22" s="18"/>
    </row>
    <row r="23" spans="1:10" x14ac:dyDescent="0.25">
      <c r="A23" s="18"/>
      <c r="B23" s="18" t="s">
        <v>38</v>
      </c>
      <c r="C23" s="18" t="s">
        <v>39</v>
      </c>
      <c r="E23" s="29" t="s">
        <v>83</v>
      </c>
      <c r="F23" s="28">
        <v>0.5</v>
      </c>
    </row>
    <row r="24" spans="1:10" x14ac:dyDescent="0.25">
      <c r="A24" s="18" t="s">
        <v>35</v>
      </c>
      <c r="B24" s="19">
        <f>D2*(0.5*F17)</f>
        <v>6.0530000000000008</v>
      </c>
      <c r="C24" s="19">
        <f>E2*(0.5*F17)</f>
        <v>3.71</v>
      </c>
      <c r="E24" s="28" t="s">
        <v>84</v>
      </c>
      <c r="F24" s="28">
        <v>0.5</v>
      </c>
    </row>
    <row r="25" spans="1:10" x14ac:dyDescent="0.25">
      <c r="A25" s="18" t="s">
        <v>36</v>
      </c>
      <c r="B25" s="19">
        <f>D2*(0.5*F16)</f>
        <v>6.6583000000000014</v>
      </c>
      <c r="C25" s="19">
        <f>E2*(0.5*F16)</f>
        <v>4.0810000000000004</v>
      </c>
    </row>
    <row r="26" spans="1:10" x14ac:dyDescent="0.25">
      <c r="A26" s="18" t="s">
        <v>37</v>
      </c>
      <c r="B26" s="19">
        <f>D7</f>
        <v>3.9649999999999999</v>
      </c>
      <c r="C26" s="19">
        <f>E7</f>
        <v>3.05</v>
      </c>
    </row>
    <row r="27" spans="1:10" x14ac:dyDescent="0.25">
      <c r="A27" s="18" t="s">
        <v>30</v>
      </c>
      <c r="B27" s="19">
        <f>SUM(B24:B26)</f>
        <v>16.676300000000001</v>
      </c>
      <c r="C27" s="19">
        <f>SUM(C24:C26)</f>
        <v>10.841000000000001</v>
      </c>
      <c r="E27" s="16"/>
      <c r="F27" s="16"/>
      <c r="G27" s="16"/>
    </row>
    <row r="30" spans="1:10" x14ac:dyDescent="0.25">
      <c r="A30" s="20" t="s">
        <v>43</v>
      </c>
      <c r="B30" s="18"/>
      <c r="C30" s="18"/>
    </row>
    <row r="31" spans="1:10" x14ac:dyDescent="0.25">
      <c r="A31" s="18"/>
      <c r="B31" s="18" t="s">
        <v>38</v>
      </c>
      <c r="C31" s="18" t="s">
        <v>39</v>
      </c>
      <c r="E31" s="28" t="s">
        <v>83</v>
      </c>
      <c r="F31" s="28">
        <f>(7.2678/2)</f>
        <v>3.6339000000000001</v>
      </c>
    </row>
    <row r="32" spans="1:10" x14ac:dyDescent="0.25">
      <c r="A32" s="18" t="s">
        <v>35</v>
      </c>
      <c r="B32" s="19">
        <f>D2*(F31*F17)</f>
        <v>43.991993400000005</v>
      </c>
      <c r="C32" s="19">
        <f>E2*(F31*F17)</f>
        <v>26.963538</v>
      </c>
      <c r="E32" s="28" t="s">
        <v>84</v>
      </c>
      <c r="F32" s="28">
        <f>(5.662/2)</f>
        <v>2.831</v>
      </c>
    </row>
    <row r="33" spans="1:6" x14ac:dyDescent="0.25">
      <c r="A33" s="18" t="s">
        <v>36</v>
      </c>
      <c r="B33" s="19">
        <f>D2*(F32*F17)</f>
        <v>34.272086000000002</v>
      </c>
      <c r="C33" s="19">
        <f>E2*(F32*F17)</f>
        <v>21.006019999999999</v>
      </c>
    </row>
    <row r="34" spans="1:6" x14ac:dyDescent="0.25">
      <c r="A34" s="18" t="s">
        <v>37</v>
      </c>
      <c r="B34" s="19">
        <f>D8</f>
        <v>4.3550000000000004</v>
      </c>
      <c r="C34" s="19">
        <f>E8</f>
        <v>3.35</v>
      </c>
    </row>
    <row r="35" spans="1:6" x14ac:dyDescent="0.25">
      <c r="A35" s="18" t="s">
        <v>30</v>
      </c>
      <c r="B35" s="19">
        <f>SUM(B32:B34)</f>
        <v>82.619079400000018</v>
      </c>
      <c r="C35" s="19">
        <f>SUM(C32:C34)</f>
        <v>51.319558000000001</v>
      </c>
    </row>
    <row r="38" spans="1:6" x14ac:dyDescent="0.25">
      <c r="A38" s="20" t="s">
        <v>44</v>
      </c>
      <c r="B38" s="18"/>
      <c r="C38" s="18"/>
    </row>
    <row r="39" spans="1:6" x14ac:dyDescent="0.25">
      <c r="A39" s="18"/>
      <c r="B39" s="18" t="s">
        <v>38</v>
      </c>
      <c r="C39" s="18" t="s">
        <v>39</v>
      </c>
      <c r="E39" s="28" t="s">
        <v>83</v>
      </c>
      <c r="F39" s="28">
        <f>7.075/2</f>
        <v>3.5375000000000001</v>
      </c>
    </row>
    <row r="40" spans="1:6" x14ac:dyDescent="0.25">
      <c r="A40" s="18" t="s">
        <v>35</v>
      </c>
      <c r="B40" s="19">
        <f>D2*(F39*F16)</f>
        <v>47.107472500000007</v>
      </c>
      <c r="C40" s="19">
        <f>E2*(F39*F16)</f>
        <v>28.873075000000004</v>
      </c>
      <c r="E40" s="28" t="s">
        <v>84</v>
      </c>
      <c r="F40" s="28">
        <f>5.825/2</f>
        <v>2.9125000000000001</v>
      </c>
    </row>
    <row r="41" spans="1:6" x14ac:dyDescent="0.25">
      <c r="A41" s="18" t="s">
        <v>36</v>
      </c>
      <c r="B41" s="19">
        <f>D2*(F40*F17)</f>
        <v>35.258725000000005</v>
      </c>
      <c r="C41" s="19">
        <f>E2*(2.765*F17)</f>
        <v>20.516300000000001</v>
      </c>
    </row>
    <row r="42" spans="1:6" x14ac:dyDescent="0.25">
      <c r="A42" s="18" t="s">
        <v>37</v>
      </c>
      <c r="B42" s="19">
        <f>D7</f>
        <v>3.9649999999999999</v>
      </c>
      <c r="C42" s="19">
        <f>E7</f>
        <v>3.05</v>
      </c>
    </row>
    <row r="43" spans="1:6" x14ac:dyDescent="0.25">
      <c r="A43" s="18" t="s">
        <v>30</v>
      </c>
      <c r="B43" s="19">
        <f>SUM(B40:B42)</f>
        <v>86.331197500000016</v>
      </c>
      <c r="C43" s="19">
        <f>SUM(C40:C42)</f>
        <v>52.439374999999998</v>
      </c>
    </row>
    <row r="53" spans="1:6" x14ac:dyDescent="0.25">
      <c r="A53" s="6" t="s">
        <v>47</v>
      </c>
      <c r="B53" s="6" t="s">
        <v>38</v>
      </c>
      <c r="C53" s="6" t="s">
        <v>39</v>
      </c>
      <c r="D53" s="6" t="s">
        <v>89</v>
      </c>
      <c r="E53" s="9" t="s">
        <v>50</v>
      </c>
      <c r="F53" s="9">
        <v>1</v>
      </c>
    </row>
    <row r="54" spans="1:6" x14ac:dyDescent="0.25">
      <c r="A54" s="6" t="s">
        <v>45</v>
      </c>
      <c r="B54" s="24">
        <f>D2*F54</f>
        <v>240.29966514849005</v>
      </c>
      <c r="C54" s="24">
        <f>E2*F54</f>
        <v>147.28428179430003</v>
      </c>
      <c r="E54" s="9" t="s">
        <v>51</v>
      </c>
      <c r="F54" s="21">
        <f>(7.2678/2)*((5.2926/2)+(5.6321/2))</f>
        <v>19.849633665000002</v>
      </c>
    </row>
    <row r="55" spans="1:6" x14ac:dyDescent="0.25">
      <c r="A55" s="6" t="s">
        <v>46</v>
      </c>
      <c r="B55" s="24">
        <f>D8*F55</f>
        <v>39.614168750000012</v>
      </c>
      <c r="C55" s="24">
        <f>E8*F55</f>
        <v>30.472437500000005</v>
      </c>
      <c r="D55" s="22"/>
      <c r="E55" s="9" t="s">
        <v>52</v>
      </c>
      <c r="F55" s="21">
        <f>(5.2926/2)+(7.2678/2)+(5.6321/2)</f>
        <v>9.0962500000000013</v>
      </c>
    </row>
    <row r="56" spans="1:6" x14ac:dyDescent="0.25">
      <c r="A56" s="6" t="s">
        <v>48</v>
      </c>
      <c r="B56" s="24">
        <f>D6*F56</f>
        <v>74.419056400000017</v>
      </c>
      <c r="C56" s="24">
        <f>E6*F56</f>
        <v>57.245428000000011</v>
      </c>
      <c r="E56" s="9" t="s">
        <v>53</v>
      </c>
      <c r="F56" s="21">
        <f>(5.2926/2)+(5.6321/2)</f>
        <v>5.4623500000000007</v>
      </c>
    </row>
    <row r="57" spans="1:6" x14ac:dyDescent="0.25">
      <c r="A57" s="6" t="s">
        <v>49</v>
      </c>
      <c r="B57" s="24">
        <f>D4*F57</f>
        <v>135.19467430000003</v>
      </c>
      <c r="C57" s="24">
        <f>E4*F57</f>
        <v>68.282251000000016</v>
      </c>
      <c r="E57" s="9" t="s">
        <v>56</v>
      </c>
      <c r="F57" s="21">
        <f>2*((4.8246/2)+(5.6321/2))</f>
        <v>10.456700000000001</v>
      </c>
    </row>
    <row r="58" spans="1:6" x14ac:dyDescent="0.25">
      <c r="A58" s="6" t="s">
        <v>54</v>
      </c>
      <c r="B58" s="24">
        <f>D9</f>
        <v>18.434000000000001</v>
      </c>
      <c r="C58" s="24">
        <f>E9</f>
        <v>14.18</v>
      </c>
    </row>
    <row r="59" spans="1:6" x14ac:dyDescent="0.25">
      <c r="A59" s="6" t="s">
        <v>30</v>
      </c>
      <c r="B59" s="24">
        <f>SUM(B54:B58)</f>
        <v>507.9615645984901</v>
      </c>
      <c r="C59" s="24">
        <f>SUM(C54:C58)</f>
        <v>317.46439829430005</v>
      </c>
    </row>
    <row r="63" spans="1:6" x14ac:dyDescent="0.25">
      <c r="A63" s="26" t="s">
        <v>57</v>
      </c>
      <c r="B63" s="26" t="s">
        <v>38</v>
      </c>
      <c r="C63" s="26" t="s">
        <v>39</v>
      </c>
      <c r="D63" s="31" t="s">
        <v>88</v>
      </c>
      <c r="E63" s="30" t="s">
        <v>85</v>
      </c>
      <c r="F63" s="6">
        <v>1</v>
      </c>
    </row>
    <row r="64" spans="1:6" x14ac:dyDescent="0.25">
      <c r="A64" s="26" t="s">
        <v>45</v>
      </c>
      <c r="B64" s="27">
        <f>D2*F64</f>
        <v>71.046330875000024</v>
      </c>
      <c r="C64" s="27">
        <f>E2*F64</f>
        <v>43.545661250000009</v>
      </c>
      <c r="E64" s="6" t="s">
        <v>58</v>
      </c>
      <c r="F64" s="23">
        <f>(5.825/2)*(4.03/2)</f>
        <v>5.8686875000000009</v>
      </c>
    </row>
    <row r="65" spans="1:6" x14ac:dyDescent="0.25">
      <c r="A65" s="26" t="s">
        <v>46</v>
      </c>
      <c r="B65" s="27">
        <f>D8*F65</f>
        <v>21.459262500000005</v>
      </c>
      <c r="C65" s="27">
        <f>E8*F65</f>
        <v>16.507125000000002</v>
      </c>
      <c r="E65" s="6" t="s">
        <v>59</v>
      </c>
      <c r="F65" s="23">
        <f>(5.825/2)+(4.03/2)</f>
        <v>4.9275000000000002</v>
      </c>
    </row>
    <row r="66" spans="1:6" x14ac:dyDescent="0.25">
      <c r="A66" s="26" t="s">
        <v>55</v>
      </c>
      <c r="B66" s="27">
        <f>D6*F66</f>
        <v>67.132260000000002</v>
      </c>
      <c r="C66" s="27">
        <f>E6*F66</f>
        <v>51.640200000000007</v>
      </c>
      <c r="E66" s="6" t="s">
        <v>53</v>
      </c>
      <c r="F66" s="23">
        <f>(4.03/2)+(5.825/2)</f>
        <v>4.9275000000000002</v>
      </c>
    </row>
    <row r="67" spans="1:6" x14ac:dyDescent="0.25">
      <c r="A67" s="26" t="s">
        <v>54</v>
      </c>
      <c r="B67" s="27">
        <f>D9</f>
        <v>18.434000000000001</v>
      </c>
      <c r="C67" s="27">
        <f>E9</f>
        <v>14.18</v>
      </c>
    </row>
    <row r="68" spans="1:6" x14ac:dyDescent="0.25">
      <c r="A68" s="26" t="s">
        <v>30</v>
      </c>
      <c r="B68" s="27">
        <f>SUM(B64:B67)</f>
        <v>178.07185337500002</v>
      </c>
      <c r="C68" s="27">
        <f>SUM(C64:C67)</f>
        <v>125.87298625000003</v>
      </c>
    </row>
    <row r="69" spans="1:6" x14ac:dyDescent="0.25">
      <c r="D69">
        <f>4.9+(5.9*1.2)</f>
        <v>11.98</v>
      </c>
      <c r="E69">
        <f>D69/2</f>
        <v>5.99</v>
      </c>
    </row>
    <row r="70" spans="1:6" x14ac:dyDescent="0.25">
      <c r="A70" s="25"/>
      <c r="B70" s="17"/>
    </row>
    <row r="71" spans="1:6" x14ac:dyDescent="0.25">
      <c r="A71" s="32"/>
      <c r="B71" s="4" t="s">
        <v>61</v>
      </c>
      <c r="C71" s="2" t="s">
        <v>60</v>
      </c>
      <c r="D71" s="2" t="s">
        <v>61</v>
      </c>
      <c r="E71" s="2" t="s">
        <v>60</v>
      </c>
    </row>
    <row r="72" spans="1:6" x14ac:dyDescent="0.25">
      <c r="A72" s="2" t="s">
        <v>86</v>
      </c>
      <c r="B72" s="2" t="s">
        <v>87</v>
      </c>
      <c r="C72" s="2" t="s">
        <v>90</v>
      </c>
      <c r="D72" s="2" t="s">
        <v>104</v>
      </c>
      <c r="E72" s="2" t="s">
        <v>104</v>
      </c>
    </row>
    <row r="73" spans="1:6" x14ac:dyDescent="0.25">
      <c r="A73" s="2">
        <v>6</v>
      </c>
      <c r="B73" s="4">
        <f>B59</f>
        <v>507.9615645984901</v>
      </c>
      <c r="C73" s="4">
        <f>B68</f>
        <v>178.07185337500002</v>
      </c>
      <c r="D73" s="4">
        <f>C59</f>
        <v>317.46439829430005</v>
      </c>
      <c r="E73" s="4">
        <f>C68</f>
        <v>125.87298625000003</v>
      </c>
    </row>
    <row r="74" spans="1:6" x14ac:dyDescent="0.25">
      <c r="A74" s="2">
        <v>5</v>
      </c>
      <c r="B74" s="4">
        <f>B73*2</f>
        <v>1015.9231291969802</v>
      </c>
      <c r="C74" s="4">
        <f>C73*2</f>
        <v>356.14370675000004</v>
      </c>
      <c r="D74" s="4">
        <f>D73*2</f>
        <v>634.92879658860011</v>
      </c>
      <c r="E74" s="4">
        <f>E73*2</f>
        <v>251.74597250000005</v>
      </c>
    </row>
    <row r="75" spans="1:6" x14ac:dyDescent="0.25">
      <c r="A75" s="2">
        <v>4</v>
      </c>
      <c r="B75" s="4">
        <f>B73*3</f>
        <v>1523.8846937954704</v>
      </c>
      <c r="C75" s="4">
        <f>C73*3</f>
        <v>534.21556012500002</v>
      </c>
      <c r="D75" s="4">
        <f>D73*3</f>
        <v>952.39319488290016</v>
      </c>
      <c r="E75" s="4">
        <f>E73*3</f>
        <v>377.61895875000005</v>
      </c>
    </row>
    <row r="76" spans="1:6" x14ac:dyDescent="0.25">
      <c r="A76" s="2">
        <v>3</v>
      </c>
      <c r="B76" s="4">
        <f>B73*4</f>
        <v>2031.8462583939604</v>
      </c>
      <c r="C76" s="4">
        <f>C73*4</f>
        <v>712.28741350000007</v>
      </c>
      <c r="D76" s="4">
        <f>D73*4</f>
        <v>1269.8575931772002</v>
      </c>
      <c r="E76" s="4">
        <f>E73*4</f>
        <v>503.4919450000001</v>
      </c>
    </row>
    <row r="77" spans="1:6" x14ac:dyDescent="0.25">
      <c r="A77" s="2">
        <v>2</v>
      </c>
      <c r="B77" s="4">
        <f>B73*5</f>
        <v>2539.8078229924504</v>
      </c>
      <c r="C77" s="4">
        <f>C73*5</f>
        <v>890.35926687500012</v>
      </c>
      <c r="D77" s="4">
        <f>D73*5</f>
        <v>1587.3219914715003</v>
      </c>
      <c r="E77" s="4">
        <f>E73*5</f>
        <v>629.36493125000015</v>
      </c>
    </row>
    <row r="78" spans="1:6" x14ac:dyDescent="0.25">
      <c r="A78" s="2">
        <v>1</v>
      </c>
      <c r="B78" s="4">
        <f>B73*6</f>
        <v>3047.7693875909408</v>
      </c>
      <c r="C78" s="4">
        <f>C73*6</f>
        <v>1068.43112025</v>
      </c>
      <c r="D78" s="4">
        <f>D73*6</f>
        <v>1904.7863897658003</v>
      </c>
      <c r="E78" s="4">
        <f>E73*6</f>
        <v>755.23791750000009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40" zoomScale="65" zoomScaleNormal="65" workbookViewId="0">
      <selection activeCell="G54" sqref="G54"/>
    </sheetView>
  </sheetViews>
  <sheetFormatPr defaultRowHeight="15" x14ac:dyDescent="0.25"/>
  <cols>
    <col min="1" max="1" width="20.28515625" customWidth="1"/>
    <col min="2" max="2" width="11.5703125" customWidth="1"/>
    <col min="3" max="4" width="16.140625" customWidth="1"/>
    <col min="5" max="5" width="13.5703125" customWidth="1"/>
    <col min="6" max="6" width="15.140625" customWidth="1"/>
    <col min="7" max="7" width="11.85546875" customWidth="1"/>
    <col min="8" max="8" width="5.5703125" customWidth="1"/>
    <col min="9" max="9" width="15.28515625" customWidth="1"/>
    <col min="10" max="10" width="15.85546875" customWidth="1"/>
    <col min="11" max="11" width="11.28515625" customWidth="1"/>
    <col min="12" max="12" width="10.7109375" customWidth="1"/>
    <col min="14" max="14" width="12.28515625" customWidth="1"/>
    <col min="15" max="15" width="14.7109375" customWidth="1"/>
  </cols>
  <sheetData>
    <row r="1" spans="1:13" x14ac:dyDescent="0.25">
      <c r="A1" s="38"/>
      <c r="B1" s="38"/>
      <c r="C1" s="7"/>
      <c r="D1" s="52" t="s">
        <v>141</v>
      </c>
      <c r="E1" s="52" t="s">
        <v>151</v>
      </c>
      <c r="F1" s="9"/>
    </row>
    <row r="2" spans="1:13" x14ac:dyDescent="0.25">
      <c r="A2" s="38"/>
      <c r="B2" s="39"/>
      <c r="D2" s="8">
        <v>6</v>
      </c>
      <c r="E2" s="10">
        <f>rigidezze!C80</f>
        <v>13.946749908189496</v>
      </c>
      <c r="F2" s="9"/>
    </row>
    <row r="3" spans="1:13" x14ac:dyDescent="0.25">
      <c r="A3" s="38" t="s">
        <v>14</v>
      </c>
      <c r="B3" s="38">
        <v>3.3</v>
      </c>
      <c r="D3" s="8" t="s">
        <v>153</v>
      </c>
      <c r="E3" s="10">
        <f>rigidezze!C81</f>
        <v>13.016883116883117</v>
      </c>
      <c r="F3" s="9"/>
    </row>
    <row r="4" spans="1:13" x14ac:dyDescent="0.25">
      <c r="A4" s="38" t="s">
        <v>99</v>
      </c>
      <c r="B4" s="55">
        <v>3.8022</v>
      </c>
      <c r="D4" s="8">
        <v>1</v>
      </c>
      <c r="E4" s="21">
        <f>rigidezze!C82</f>
        <v>15.033909723781719</v>
      </c>
      <c r="F4" s="9"/>
    </row>
    <row r="5" spans="1:13" x14ac:dyDescent="0.25">
      <c r="I5" s="39"/>
      <c r="J5" s="39" t="s">
        <v>33</v>
      </c>
      <c r="K5" s="39"/>
      <c r="L5" s="39"/>
      <c r="M5" s="39"/>
    </row>
    <row r="6" spans="1:13" x14ac:dyDescent="0.25">
      <c r="A6" s="77" t="s">
        <v>15</v>
      </c>
      <c r="B6" s="77" t="s">
        <v>193</v>
      </c>
      <c r="C6" s="77" t="s">
        <v>194</v>
      </c>
      <c r="D6" s="77" t="s">
        <v>195</v>
      </c>
      <c r="E6" s="77" t="s">
        <v>196</v>
      </c>
      <c r="F6" s="77" t="s">
        <v>197</v>
      </c>
      <c r="G6" s="77" t="s">
        <v>198</v>
      </c>
      <c r="I6" s="39" t="s">
        <v>31</v>
      </c>
      <c r="J6" s="38" t="s">
        <v>32</v>
      </c>
      <c r="K6" s="39" t="s">
        <v>34</v>
      </c>
      <c r="L6" s="39"/>
      <c r="M6" s="39"/>
    </row>
    <row r="7" spans="1:13" x14ac:dyDescent="0.25">
      <c r="A7" s="77">
        <v>6</v>
      </c>
      <c r="B7" s="78">
        <f>'masse e forze direzione x'!F20</f>
        <v>430.96671340621896</v>
      </c>
      <c r="C7" s="78">
        <f>B7/E2</f>
        <v>30.900870542832092</v>
      </c>
      <c r="D7" s="77">
        <f>0.5*$B$3</f>
        <v>1.65</v>
      </c>
      <c r="E7" s="78">
        <f>C7*D7</f>
        <v>50.986436395672946</v>
      </c>
      <c r="F7" s="78">
        <f>E7/2</f>
        <v>25.493218197836473</v>
      </c>
      <c r="G7" s="79">
        <f>2*(F7/$B$4)</f>
        <v>13.409719740064423</v>
      </c>
      <c r="I7" s="55">
        <f>(C7*20/100)+C7</f>
        <v>37.081044651398507</v>
      </c>
      <c r="J7" s="70">
        <f>(E7*20/100)+E7</f>
        <v>61.183723674807538</v>
      </c>
      <c r="K7" s="70">
        <f>(F7*20/100)+F7</f>
        <v>30.591861837403769</v>
      </c>
      <c r="L7" s="39"/>
      <c r="M7" s="39"/>
    </row>
    <row r="8" spans="1:13" x14ac:dyDescent="0.25">
      <c r="A8" s="77">
        <v>5</v>
      </c>
      <c r="B8" s="78">
        <f>'masse e forze direzione x'!F21</f>
        <v>907.44689090974543</v>
      </c>
      <c r="C8" s="78">
        <f>B8/E3</f>
        <v>69.713070537813437</v>
      </c>
      <c r="D8" s="77">
        <f t="shared" ref="D8:D11" si="0">0.5*$B$3</f>
        <v>1.65</v>
      </c>
      <c r="E8" s="78">
        <f t="shared" ref="E8:E12" si="1">C8*D8</f>
        <v>115.02656638739217</v>
      </c>
      <c r="F8" s="78">
        <f>(E7+E8)/2</f>
        <v>83.006501391532552</v>
      </c>
      <c r="G8" s="80">
        <f>((F7+F8)/$B$4)*2</f>
        <v>57.07207384638842</v>
      </c>
      <c r="I8" s="55">
        <f t="shared" ref="I8:I12" si="2">(C8*20/100)+C8</f>
        <v>83.655684645376127</v>
      </c>
      <c r="J8" s="70">
        <f t="shared" ref="J8:K12" si="3">(E8*20/100)+E8</f>
        <v>138.03187966487059</v>
      </c>
      <c r="K8" s="70">
        <f t="shared" si="3"/>
        <v>99.607801669839063</v>
      </c>
      <c r="L8" s="39"/>
      <c r="M8" s="39"/>
    </row>
    <row r="9" spans="1:13" x14ac:dyDescent="0.25">
      <c r="A9" s="77">
        <v>4</v>
      </c>
      <c r="B9" s="78">
        <f>'masse e forze direzione x'!F22</f>
        <v>1289.7723027988027</v>
      </c>
      <c r="C9" s="78">
        <f>B9/E3</f>
        <v>99.084572798072244</v>
      </c>
      <c r="D9" s="77">
        <f t="shared" si="0"/>
        <v>1.65</v>
      </c>
      <c r="E9" s="78">
        <f t="shared" si="1"/>
        <v>163.48954511681919</v>
      </c>
      <c r="F9" s="78">
        <f>(E8+E9)/2</f>
        <v>139.25805575210569</v>
      </c>
      <c r="G9" s="80">
        <f t="shared" ref="G9:G12" si="4">((F8+F9)/$B$4)*2</f>
        <v>116.91365900985652</v>
      </c>
      <c r="I9" s="55">
        <f t="shared" si="2"/>
        <v>118.90148735768669</v>
      </c>
      <c r="J9" s="70">
        <f t="shared" si="3"/>
        <v>196.18745414018304</v>
      </c>
      <c r="K9" s="70">
        <f t="shared" si="3"/>
        <v>167.10966690252684</v>
      </c>
      <c r="L9" s="39"/>
      <c r="M9" s="39"/>
    </row>
    <row r="10" spans="1:13" x14ac:dyDescent="0.25">
      <c r="A10" s="77">
        <v>3</v>
      </c>
      <c r="B10" s="78">
        <f>'masse e forze direzione x'!F23</f>
        <v>1577.9429490733905</v>
      </c>
      <c r="C10" s="78">
        <f>B10/E3</f>
        <v>121.22279465095389</v>
      </c>
      <c r="D10" s="77">
        <f t="shared" si="0"/>
        <v>1.65</v>
      </c>
      <c r="E10" s="78">
        <f t="shared" si="1"/>
        <v>200.01761117407389</v>
      </c>
      <c r="F10" s="78">
        <f t="shared" ref="F10:F12" si="5">(E9+E10)/2</f>
        <v>181.75357814544654</v>
      </c>
      <c r="G10" s="80">
        <f t="shared" si="4"/>
        <v>168.85573294279743</v>
      </c>
      <c r="I10" s="55">
        <f t="shared" si="2"/>
        <v>145.46735358114466</v>
      </c>
      <c r="J10" s="70">
        <f t="shared" si="3"/>
        <v>240.02113340888866</v>
      </c>
      <c r="K10" s="70">
        <f t="shared" si="3"/>
        <v>218.10429377453585</v>
      </c>
      <c r="L10" s="39"/>
      <c r="M10" s="39"/>
    </row>
    <row r="11" spans="1:13" x14ac:dyDescent="0.25">
      <c r="A11" s="77">
        <v>2</v>
      </c>
      <c r="B11" s="78">
        <f>'masse e forze direzione x'!F24</f>
        <v>1771.958829733509</v>
      </c>
      <c r="C11" s="78">
        <f>B11/E3</f>
        <v>136.12773609645834</v>
      </c>
      <c r="D11" s="77">
        <f t="shared" si="0"/>
        <v>1.65</v>
      </c>
      <c r="E11" s="78">
        <f t="shared" si="1"/>
        <v>224.61076455915625</v>
      </c>
      <c r="F11" s="78">
        <f t="shared" si="5"/>
        <v>212.31418786661507</v>
      </c>
      <c r="G11" s="80">
        <f t="shared" si="4"/>
        <v>207.28408080167355</v>
      </c>
      <c r="I11" s="55">
        <f t="shared" si="2"/>
        <v>163.35328331574999</v>
      </c>
      <c r="J11" s="70">
        <f t="shared" si="3"/>
        <v>269.53291747098751</v>
      </c>
      <c r="K11" s="70">
        <f t="shared" si="3"/>
        <v>254.77702543993809</v>
      </c>
      <c r="L11" s="39"/>
      <c r="M11" s="39"/>
    </row>
    <row r="12" spans="1:13" x14ac:dyDescent="0.25">
      <c r="A12" s="77">
        <v>1</v>
      </c>
      <c r="B12" s="78">
        <f>'masse e forze direzione x'!F25</f>
        <v>1860.5874444625003</v>
      </c>
      <c r="C12" s="78">
        <f>B12/E4</f>
        <v>123.75938652333993</v>
      </c>
      <c r="D12" s="77">
        <f>0.4*$B$3</f>
        <v>1.32</v>
      </c>
      <c r="E12" s="78">
        <f t="shared" si="1"/>
        <v>163.36239021080871</v>
      </c>
      <c r="F12" s="78">
        <f t="shared" si="5"/>
        <v>193.98657738498247</v>
      </c>
      <c r="G12" s="80">
        <f t="shared" si="4"/>
        <v>213.71877610414896</v>
      </c>
      <c r="I12" s="55">
        <f t="shared" si="2"/>
        <v>148.51126382800791</v>
      </c>
      <c r="J12" s="70">
        <f t="shared" si="3"/>
        <v>196.03486825297045</v>
      </c>
      <c r="K12" s="70">
        <f t="shared" si="3"/>
        <v>232.78389286197896</v>
      </c>
      <c r="L12" s="39"/>
      <c r="M12" s="39"/>
    </row>
    <row r="13" spans="1:13" x14ac:dyDescent="0.25">
      <c r="A13" s="77" t="s">
        <v>16</v>
      </c>
      <c r="B13" s="77"/>
      <c r="C13" s="81"/>
      <c r="D13" s="77">
        <f>0.6*$B$3</f>
        <v>1.9799999999999998</v>
      </c>
      <c r="E13" s="78">
        <f>C12*D13</f>
        <v>245.04358531621304</v>
      </c>
      <c r="F13" s="79"/>
      <c r="G13" s="80"/>
      <c r="I13" s="39"/>
      <c r="J13" s="70">
        <f>(E13*20/100)+E13</f>
        <v>294.05230237945568</v>
      </c>
      <c r="K13" s="39"/>
      <c r="L13" s="39"/>
      <c r="M13" s="39"/>
    </row>
    <row r="15" spans="1:13" x14ac:dyDescent="0.25">
      <c r="A15" s="73" t="s">
        <v>100</v>
      </c>
      <c r="B15" s="74" t="s">
        <v>127</v>
      </c>
      <c r="C15" s="64"/>
    </row>
    <row r="16" spans="1:13" x14ac:dyDescent="0.25">
      <c r="A16" s="64" t="s">
        <v>96</v>
      </c>
      <c r="B16" s="64" t="s">
        <v>65</v>
      </c>
      <c r="C16" s="64"/>
      <c r="G16" s="16"/>
    </row>
    <row r="17" spans="1:14" x14ac:dyDescent="0.25">
      <c r="A17" s="64" t="s">
        <v>62</v>
      </c>
      <c r="B17" s="64" t="s">
        <v>63</v>
      </c>
      <c r="C17" s="71">
        <f>(('carichi unitari'!C20)*(5.6321*5.6321))/10</f>
        <v>170.82638668858507</v>
      </c>
    </row>
    <row r="18" spans="1:14" x14ac:dyDescent="0.25">
      <c r="A18" s="64" t="s">
        <v>64</v>
      </c>
      <c r="B18" s="64"/>
      <c r="C18" s="71">
        <f>K26</f>
        <v>232.78389286197896</v>
      </c>
      <c r="G18" s="39"/>
      <c r="H18" s="39"/>
      <c r="I18" s="39"/>
      <c r="J18" s="38" t="s">
        <v>94</v>
      </c>
      <c r="K18" s="38"/>
      <c r="L18" s="38"/>
      <c r="M18" s="38"/>
      <c r="N18" s="1"/>
    </row>
    <row r="19" spans="1:14" x14ac:dyDescent="0.25">
      <c r="A19" s="64" t="s">
        <v>97</v>
      </c>
      <c r="B19" s="64"/>
      <c r="C19" s="71">
        <f>SUM(C17:C18)</f>
        <v>403.61027955056403</v>
      </c>
      <c r="G19" s="39"/>
      <c r="H19" s="39"/>
      <c r="I19" s="39"/>
      <c r="J19" s="39"/>
      <c r="K19" s="39"/>
      <c r="L19" s="39"/>
      <c r="M19" s="39"/>
    </row>
    <row r="20" spans="1:14" x14ac:dyDescent="0.25">
      <c r="A20" s="64"/>
      <c r="B20" s="64"/>
      <c r="C20" s="64"/>
      <c r="G20" s="39"/>
      <c r="H20" s="39"/>
      <c r="I20" s="38" t="s">
        <v>31</v>
      </c>
      <c r="J20" s="38" t="s">
        <v>32</v>
      </c>
      <c r="K20" s="38" t="s">
        <v>34</v>
      </c>
      <c r="L20" s="39"/>
      <c r="M20" s="39"/>
    </row>
    <row r="21" spans="1:14" x14ac:dyDescent="0.25">
      <c r="A21" s="64" t="s">
        <v>66</v>
      </c>
      <c r="B21" s="64"/>
      <c r="C21" s="64"/>
      <c r="G21" s="39"/>
      <c r="H21" s="39"/>
      <c r="I21" s="55">
        <f t="shared" ref="I21:I26" si="6">I7</f>
        <v>37.081044651398507</v>
      </c>
      <c r="J21" s="70">
        <f>J7*1.5</f>
        <v>91.775585512211308</v>
      </c>
      <c r="K21" s="70">
        <f t="shared" ref="K21:K26" si="7">K7</f>
        <v>30.591861837403769</v>
      </c>
      <c r="L21" s="39"/>
      <c r="M21" s="39"/>
    </row>
    <row r="22" spans="1:14" x14ac:dyDescent="0.25">
      <c r="A22" s="64" t="s">
        <v>67</v>
      </c>
      <c r="B22" s="62">
        <v>0.3</v>
      </c>
      <c r="C22" s="64" t="s">
        <v>98</v>
      </c>
      <c r="G22" s="39"/>
      <c r="H22" s="39"/>
      <c r="I22" s="55">
        <f t="shared" si="6"/>
        <v>83.655684645376127</v>
      </c>
      <c r="J22" s="70">
        <f t="shared" ref="J22:J26" si="8">J8*1.5</f>
        <v>207.04781949730588</v>
      </c>
      <c r="K22" s="70">
        <f t="shared" si="7"/>
        <v>99.607801669839063</v>
      </c>
      <c r="L22" s="39"/>
      <c r="M22" s="39"/>
    </row>
    <row r="23" spans="1:14" x14ac:dyDescent="0.25">
      <c r="A23" s="64" t="s">
        <v>68</v>
      </c>
      <c r="B23" s="62" t="s">
        <v>69</v>
      </c>
      <c r="C23" s="64"/>
      <c r="G23" s="39"/>
      <c r="H23" s="39"/>
      <c r="I23" s="55">
        <f t="shared" si="6"/>
        <v>118.90148735768669</v>
      </c>
      <c r="J23" s="70">
        <f t="shared" si="8"/>
        <v>294.28118121027455</v>
      </c>
      <c r="K23" s="70">
        <f t="shared" si="7"/>
        <v>167.10966690252684</v>
      </c>
      <c r="L23" s="39"/>
      <c r="M23" s="39"/>
    </row>
    <row r="24" spans="1:14" x14ac:dyDescent="0.25">
      <c r="A24" s="64" t="s">
        <v>70</v>
      </c>
      <c r="B24" s="62">
        <v>0.04</v>
      </c>
      <c r="C24" s="64" t="s">
        <v>98</v>
      </c>
      <c r="G24" s="39"/>
      <c r="H24" s="39"/>
      <c r="I24" s="55">
        <f t="shared" si="6"/>
        <v>145.46735358114466</v>
      </c>
      <c r="J24" s="70">
        <f t="shared" si="8"/>
        <v>360.03170011333299</v>
      </c>
      <c r="K24" s="70">
        <f t="shared" si="7"/>
        <v>218.10429377453585</v>
      </c>
      <c r="L24" s="39"/>
      <c r="M24" s="39"/>
    </row>
    <row r="25" spans="1:14" x14ac:dyDescent="0.25">
      <c r="A25" s="64" t="s">
        <v>71</v>
      </c>
      <c r="B25" s="63">
        <f>C19</f>
        <v>403.61027955056403</v>
      </c>
      <c r="C25" s="64"/>
      <c r="G25" s="39"/>
      <c r="H25" s="39"/>
      <c r="I25" s="55">
        <f t="shared" si="6"/>
        <v>163.35328331574999</v>
      </c>
      <c r="J25" s="70">
        <f t="shared" si="8"/>
        <v>404.29937620648127</v>
      </c>
      <c r="K25" s="70">
        <f t="shared" si="7"/>
        <v>254.77702543993809</v>
      </c>
      <c r="L25" s="39"/>
      <c r="M25" s="39"/>
    </row>
    <row r="26" spans="1:14" x14ac:dyDescent="0.25">
      <c r="A26" s="64" t="s">
        <v>72</v>
      </c>
      <c r="B26" s="62">
        <v>25</v>
      </c>
      <c r="C26" s="64"/>
      <c r="G26" s="39"/>
      <c r="H26" s="39"/>
      <c r="I26" s="55">
        <f t="shared" si="6"/>
        <v>148.51126382800791</v>
      </c>
      <c r="J26" s="70">
        <f t="shared" si="8"/>
        <v>294.05230237945568</v>
      </c>
      <c r="K26" s="70">
        <f t="shared" si="7"/>
        <v>232.78389286197896</v>
      </c>
      <c r="L26" s="39"/>
      <c r="M26" s="39"/>
    </row>
    <row r="27" spans="1:14" x14ac:dyDescent="0.25">
      <c r="A27" s="64" t="s">
        <v>73</v>
      </c>
      <c r="B27" s="62">
        <v>1.7000000000000001E-2</v>
      </c>
      <c r="C27" s="64"/>
      <c r="G27" s="39"/>
      <c r="H27" s="39"/>
      <c r="I27" s="39"/>
      <c r="J27" s="70">
        <f>J13</f>
        <v>294.05230237945568</v>
      </c>
      <c r="K27" s="39"/>
      <c r="L27" s="39"/>
      <c r="M27" s="39"/>
    </row>
    <row r="28" spans="1:14" x14ac:dyDescent="0.25">
      <c r="A28" s="64"/>
      <c r="B28" s="62"/>
      <c r="C28" s="64" t="s">
        <v>75</v>
      </c>
    </row>
    <row r="29" spans="1:14" x14ac:dyDescent="0.25">
      <c r="A29" s="64" t="s">
        <v>68</v>
      </c>
      <c r="B29" s="75">
        <f>B27*SQRT(B25/B22)</f>
        <v>0.62354730050497653</v>
      </c>
      <c r="C29" s="64"/>
      <c r="D29" s="15" t="s">
        <v>74</v>
      </c>
      <c r="E29" s="15"/>
      <c r="F29" s="15"/>
      <c r="G29" s="15" t="s">
        <v>242</v>
      </c>
      <c r="I29" t="s">
        <v>246</v>
      </c>
    </row>
    <row r="32" spans="1:14" x14ac:dyDescent="0.25">
      <c r="A32" s="15" t="s">
        <v>101</v>
      </c>
      <c r="B32" s="15"/>
    </row>
    <row r="33" spans="1:8" x14ac:dyDescent="0.25">
      <c r="B33" s="17"/>
    </row>
    <row r="34" spans="1:8" x14ac:dyDescent="0.25">
      <c r="A34" s="77" t="s">
        <v>0</v>
      </c>
      <c r="B34" s="78" t="s">
        <v>93</v>
      </c>
      <c r="C34" s="77" t="s">
        <v>105</v>
      </c>
      <c r="D34" s="77" t="s">
        <v>102</v>
      </c>
      <c r="E34" s="77" t="s">
        <v>103</v>
      </c>
      <c r="F34" s="77" t="s">
        <v>106</v>
      </c>
      <c r="G34" s="77" t="s">
        <v>107</v>
      </c>
      <c r="H34" s="1"/>
    </row>
    <row r="35" spans="1:8" x14ac:dyDescent="0.25">
      <c r="A35" s="77">
        <v>6</v>
      </c>
      <c r="B35" s="78">
        <f>J21</f>
        <v>91.775585512211308</v>
      </c>
      <c r="C35" s="78">
        <f>G7</f>
        <v>13.409719740064423</v>
      </c>
      <c r="D35" s="78">
        <f>'carichi unitari'!D73</f>
        <v>317.46439829430005</v>
      </c>
      <c r="E35" s="82">
        <f>'carichi unitari'!E73</f>
        <v>125.87298625000003</v>
      </c>
      <c r="F35" s="78">
        <f>D35+C35</f>
        <v>330.87411803436447</v>
      </c>
      <c r="G35" s="82">
        <f>E35-C35</f>
        <v>112.46326650993561</v>
      </c>
    </row>
    <row r="36" spans="1:8" x14ac:dyDescent="0.25">
      <c r="A36" s="77">
        <v>5</v>
      </c>
      <c r="B36" s="78">
        <f t="shared" ref="B36:B40" si="9">J22</f>
        <v>207.04781949730588</v>
      </c>
      <c r="C36" s="78">
        <f t="shared" ref="C36:C40" si="10">G8</f>
        <v>57.07207384638842</v>
      </c>
      <c r="D36" s="78">
        <f>'carichi unitari'!D74</f>
        <v>634.92879658860011</v>
      </c>
      <c r="E36" s="82">
        <f>'carichi unitari'!E74</f>
        <v>251.74597250000005</v>
      </c>
      <c r="F36" s="78">
        <f t="shared" ref="F36:F40" si="11">D36+C36</f>
        <v>692.00087043498854</v>
      </c>
      <c r="G36" s="82">
        <f t="shared" ref="G36:G40" si="12">E36-C36</f>
        <v>194.67389865361162</v>
      </c>
    </row>
    <row r="37" spans="1:8" x14ac:dyDescent="0.25">
      <c r="A37" s="77">
        <v>4</v>
      </c>
      <c r="B37" s="78">
        <f t="shared" si="9"/>
        <v>294.28118121027455</v>
      </c>
      <c r="C37" s="78">
        <f t="shared" si="10"/>
        <v>116.91365900985652</v>
      </c>
      <c r="D37" s="78">
        <f>'carichi unitari'!D75</f>
        <v>952.39319488290016</v>
      </c>
      <c r="E37" s="82">
        <f>'carichi unitari'!E75</f>
        <v>377.61895875000005</v>
      </c>
      <c r="F37" s="78">
        <f t="shared" si="11"/>
        <v>1069.3068538927566</v>
      </c>
      <c r="G37" s="82">
        <f t="shared" si="12"/>
        <v>260.70529974014352</v>
      </c>
    </row>
    <row r="38" spans="1:8" x14ac:dyDescent="0.25">
      <c r="A38" s="77">
        <v>3</v>
      </c>
      <c r="B38" s="78">
        <f t="shared" si="9"/>
        <v>360.03170011333299</v>
      </c>
      <c r="C38" s="78">
        <f t="shared" si="10"/>
        <v>168.85573294279743</v>
      </c>
      <c r="D38" s="78">
        <f>'carichi unitari'!D76</f>
        <v>1269.8575931772002</v>
      </c>
      <c r="E38" s="82">
        <f>'carichi unitari'!E76</f>
        <v>503.4919450000001</v>
      </c>
      <c r="F38" s="78">
        <f t="shared" si="11"/>
        <v>1438.7133261199976</v>
      </c>
      <c r="G38" s="82">
        <f t="shared" si="12"/>
        <v>334.63621205720267</v>
      </c>
    </row>
    <row r="39" spans="1:8" x14ac:dyDescent="0.25">
      <c r="A39" s="77">
        <v>2</v>
      </c>
      <c r="B39" s="78">
        <f t="shared" si="9"/>
        <v>404.29937620648127</v>
      </c>
      <c r="C39" s="78">
        <f t="shared" si="10"/>
        <v>207.28408080167355</v>
      </c>
      <c r="D39" s="78">
        <f>'carichi unitari'!D77</f>
        <v>1587.3219914715003</v>
      </c>
      <c r="E39" s="82">
        <f>'carichi unitari'!E77</f>
        <v>629.36493125000015</v>
      </c>
      <c r="F39" s="78">
        <f t="shared" si="11"/>
        <v>1794.6060722731738</v>
      </c>
      <c r="G39" s="82">
        <f t="shared" si="12"/>
        <v>422.0808504483266</v>
      </c>
    </row>
    <row r="40" spans="1:8" x14ac:dyDescent="0.25">
      <c r="A40" s="77">
        <v>1</v>
      </c>
      <c r="B40" s="78">
        <f t="shared" si="9"/>
        <v>294.05230237945568</v>
      </c>
      <c r="C40" s="78">
        <f t="shared" si="10"/>
        <v>213.71877610414896</v>
      </c>
      <c r="D40" s="78">
        <f>'carichi unitari'!D78</f>
        <v>1904.7863897658003</v>
      </c>
      <c r="E40" s="82">
        <f>'carichi unitari'!E78</f>
        <v>755.23791750000009</v>
      </c>
      <c r="F40" s="78">
        <f t="shared" si="11"/>
        <v>2118.5051658699495</v>
      </c>
      <c r="G40" s="82">
        <f t="shared" si="12"/>
        <v>541.51914139585119</v>
      </c>
    </row>
    <row r="41" spans="1:8" x14ac:dyDescent="0.25">
      <c r="A41" s="81"/>
      <c r="B41" s="78">
        <f>J27</f>
        <v>294.05230237945568</v>
      </c>
      <c r="C41" s="81"/>
      <c r="D41" s="81"/>
      <c r="E41" s="81"/>
      <c r="F41" s="81"/>
      <c r="G41" s="81"/>
    </row>
    <row r="42" spans="1:8" x14ac:dyDescent="0.25">
      <c r="A42" s="15" t="s">
        <v>177</v>
      </c>
    </row>
    <row r="43" spans="1:8" x14ac:dyDescent="0.25">
      <c r="A43" s="64" t="s">
        <v>108</v>
      </c>
      <c r="B43" s="71">
        <f>J27</f>
        <v>294.05230237945568</v>
      </c>
    </row>
    <row r="44" spans="1:8" x14ac:dyDescent="0.25">
      <c r="A44" s="64" t="s">
        <v>109</v>
      </c>
      <c r="B44" s="71">
        <f>F40</f>
        <v>2118.5051658699495</v>
      </c>
      <c r="D44" s="33" t="s">
        <v>111</v>
      </c>
      <c r="E44" t="s">
        <v>112</v>
      </c>
    </row>
    <row r="45" spans="1:8" x14ac:dyDescent="0.25">
      <c r="A45" s="64" t="s">
        <v>110</v>
      </c>
      <c r="B45" s="76">
        <f>G40</f>
        <v>541.51914139585119</v>
      </c>
      <c r="C45" s="32" t="s">
        <v>149</v>
      </c>
      <c r="D45" s="49">
        <f>J25</f>
        <v>404.29937620648127</v>
      </c>
    </row>
    <row r="46" spans="1:8" x14ac:dyDescent="0.25">
      <c r="A46" s="64"/>
      <c r="B46" s="64"/>
    </row>
    <row r="47" spans="1:8" x14ac:dyDescent="0.25">
      <c r="A47" s="41" t="s">
        <v>441</v>
      </c>
      <c r="B47" s="42"/>
      <c r="C47" s="43"/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37" zoomScale="76" zoomScaleNormal="76" workbookViewId="0">
      <selection activeCell="E20" sqref="E20"/>
    </sheetView>
  </sheetViews>
  <sheetFormatPr defaultRowHeight="15" x14ac:dyDescent="0.25"/>
  <cols>
    <col min="1" max="1" width="14" customWidth="1"/>
    <col min="2" max="2" width="17.28515625" customWidth="1"/>
    <col min="3" max="3" width="20.42578125" customWidth="1"/>
    <col min="4" max="4" width="19" customWidth="1"/>
    <col min="5" max="5" width="13.42578125" customWidth="1"/>
  </cols>
  <sheetData>
    <row r="1" spans="1:5" x14ac:dyDescent="0.25">
      <c r="A1" s="62" t="s">
        <v>0</v>
      </c>
      <c r="B1" s="2" t="s">
        <v>186</v>
      </c>
      <c r="C1" s="2" t="s">
        <v>189</v>
      </c>
      <c r="D1" s="2" t="s">
        <v>188</v>
      </c>
      <c r="E1" s="2" t="s">
        <v>1</v>
      </c>
    </row>
    <row r="2" spans="1:5" x14ac:dyDescent="0.25">
      <c r="A2" s="62" t="s">
        <v>2</v>
      </c>
      <c r="B2" s="62">
        <v>502.5</v>
      </c>
      <c r="C2" s="129">
        <f>'masse e forze direzione x'!C2</f>
        <v>8.9696514427860716</v>
      </c>
      <c r="D2" s="62">
        <f>B2*C2</f>
        <v>4507.2498500000011</v>
      </c>
      <c r="E2" s="63">
        <f>D2/9.81</f>
        <v>459.45462283384308</v>
      </c>
    </row>
    <row r="3" spans="1:5" x14ac:dyDescent="0.25">
      <c r="A3" s="62">
        <v>5</v>
      </c>
      <c r="B3" s="62">
        <v>575.1</v>
      </c>
      <c r="C3" s="129">
        <f>'masse e forze direzione x'!C3</f>
        <v>10.377264823508956</v>
      </c>
      <c r="D3" s="63">
        <f t="shared" ref="D3:D7" si="0">B3*C3</f>
        <v>5967.9650000000001</v>
      </c>
      <c r="E3" s="63">
        <f t="shared" ref="E3:E8" si="1">D3/9.81</f>
        <v>608.35524974515795</v>
      </c>
    </row>
    <row r="4" spans="1:5" x14ac:dyDescent="0.25">
      <c r="A4" s="62">
        <v>4</v>
      </c>
      <c r="B4" s="62">
        <v>575.1</v>
      </c>
      <c r="C4" s="129">
        <f>'masse e forze direzione x'!C4</f>
        <v>10.377264823508956</v>
      </c>
      <c r="D4" s="63">
        <f t="shared" si="0"/>
        <v>5967.9650000000001</v>
      </c>
      <c r="E4" s="63">
        <f t="shared" si="1"/>
        <v>608.35524974515795</v>
      </c>
    </row>
    <row r="5" spans="1:5" x14ac:dyDescent="0.25">
      <c r="A5" s="62">
        <v>3</v>
      </c>
      <c r="B5" s="62">
        <v>575.1</v>
      </c>
      <c r="C5" s="129">
        <f>'masse e forze direzione x'!C5</f>
        <v>10.377264823508956</v>
      </c>
      <c r="D5" s="63">
        <f t="shared" si="0"/>
        <v>5967.9650000000001</v>
      </c>
      <c r="E5" s="63">
        <f t="shared" si="1"/>
        <v>608.35524974515795</v>
      </c>
    </row>
    <row r="6" spans="1:5" x14ac:dyDescent="0.25">
      <c r="A6" s="62">
        <v>2</v>
      </c>
      <c r="B6" s="62">
        <v>575.1</v>
      </c>
      <c r="C6" s="129">
        <f>'masse e forze direzione x'!C6</f>
        <v>10.377264823508956</v>
      </c>
      <c r="D6" s="63">
        <f t="shared" si="0"/>
        <v>5967.9650000000001</v>
      </c>
      <c r="E6" s="63">
        <f t="shared" si="1"/>
        <v>608.35524974515795</v>
      </c>
    </row>
    <row r="7" spans="1:5" x14ac:dyDescent="0.25">
      <c r="A7" s="62">
        <v>1</v>
      </c>
      <c r="B7" s="62">
        <v>472.3</v>
      </c>
      <c r="C7" s="129">
        <f>'masse e forze direzione x'!C7</f>
        <v>11.214653821723482</v>
      </c>
      <c r="D7" s="63">
        <f t="shared" si="0"/>
        <v>5296.6810000000005</v>
      </c>
      <c r="E7" s="63">
        <f t="shared" si="1"/>
        <v>539.92670744138638</v>
      </c>
    </row>
    <row r="8" spans="1:5" x14ac:dyDescent="0.25">
      <c r="A8" s="62" t="s">
        <v>3</v>
      </c>
      <c r="B8" s="64"/>
      <c r="C8" s="64"/>
      <c r="D8" s="63">
        <f>SUM(D2:D7)</f>
        <v>33675.790850000005</v>
      </c>
      <c r="E8" s="63">
        <f t="shared" si="1"/>
        <v>3432.8023292558619</v>
      </c>
    </row>
    <row r="11" spans="1:5" x14ac:dyDescent="0.25">
      <c r="A11" s="2" t="s">
        <v>4</v>
      </c>
      <c r="B11" s="2">
        <v>7.4999999999999997E-2</v>
      </c>
    </row>
    <row r="12" spans="1:5" x14ac:dyDescent="0.25">
      <c r="A12" s="2" t="s">
        <v>5</v>
      </c>
      <c r="B12" s="2">
        <v>20</v>
      </c>
    </row>
    <row r="13" spans="1:5" x14ac:dyDescent="0.25">
      <c r="A13" s="2" t="s">
        <v>6</v>
      </c>
      <c r="B13" s="3">
        <f>rigidezze!G76</f>
        <v>0.75191872042800334</v>
      </c>
    </row>
    <row r="14" spans="1:5" x14ac:dyDescent="0.25">
      <c r="A14" s="2" t="s">
        <v>7</v>
      </c>
      <c r="B14" s="3">
        <v>7.9000000000000001E-2</v>
      </c>
      <c r="C14" t="s">
        <v>91</v>
      </c>
    </row>
    <row r="15" spans="1:5" x14ac:dyDescent="0.25">
      <c r="A15" s="2" t="s">
        <v>8</v>
      </c>
      <c r="B15" s="4">
        <f>0.85*D8*B14</f>
        <v>2261.3293555775003</v>
      </c>
    </row>
    <row r="16" spans="1:5" x14ac:dyDescent="0.25">
      <c r="A16" s="1"/>
    </row>
    <row r="19" spans="1:6" x14ac:dyDescent="0.25">
      <c r="A19" s="65" t="s">
        <v>0</v>
      </c>
      <c r="B19" s="65" t="s">
        <v>190</v>
      </c>
      <c r="C19" s="65" t="s">
        <v>187</v>
      </c>
      <c r="D19" s="65" t="s">
        <v>191</v>
      </c>
      <c r="E19" s="65" t="s">
        <v>212</v>
      </c>
      <c r="F19" s="65" t="s">
        <v>193</v>
      </c>
    </row>
    <row r="20" spans="1:6" x14ac:dyDescent="0.25">
      <c r="A20" s="65" t="s">
        <v>10</v>
      </c>
      <c r="B20" s="65">
        <f t="shared" ref="B20:B25" si="2">D2</f>
        <v>4507.2498500000011</v>
      </c>
      <c r="C20" s="65">
        <f>C21+3.3</f>
        <v>20</v>
      </c>
      <c r="D20" s="66">
        <f>B20*C20</f>
        <v>90144.997000000018</v>
      </c>
      <c r="E20" s="67">
        <f>D20/$D$26*$B$15</f>
        <v>523.79031321678917</v>
      </c>
      <c r="F20" s="68">
        <f>E20</f>
        <v>523.79031321678917</v>
      </c>
    </row>
    <row r="21" spans="1:6" x14ac:dyDescent="0.25">
      <c r="A21" s="65">
        <v>5</v>
      </c>
      <c r="B21" s="68">
        <f t="shared" si="2"/>
        <v>5967.9650000000001</v>
      </c>
      <c r="C21" s="65">
        <f>C22+3.3</f>
        <v>16.7</v>
      </c>
      <c r="D21" s="66">
        <f t="shared" ref="D21:D25" si="3">B21*C21</f>
        <v>99665.015499999994</v>
      </c>
      <c r="E21" s="68">
        <f t="shared" ref="E21:E25" si="4">D21/$D$26*$B$15</f>
        <v>579.10667727351677</v>
      </c>
      <c r="F21" s="68">
        <f>F20+E21</f>
        <v>1102.8969904903061</v>
      </c>
    </row>
    <row r="22" spans="1:6" x14ac:dyDescent="0.25">
      <c r="A22" s="65">
        <v>4</v>
      </c>
      <c r="B22" s="68">
        <f t="shared" si="2"/>
        <v>5967.9650000000001</v>
      </c>
      <c r="C22" s="65">
        <f>C23+3.3</f>
        <v>13.399999999999999</v>
      </c>
      <c r="D22" s="66">
        <f t="shared" si="3"/>
        <v>79970.731</v>
      </c>
      <c r="E22" s="68">
        <f t="shared" si="4"/>
        <v>464.67242368054639</v>
      </c>
      <c r="F22" s="68">
        <f>F21+E22</f>
        <v>1567.5694141708525</v>
      </c>
    </row>
    <row r="23" spans="1:6" x14ac:dyDescent="0.25">
      <c r="A23" s="65">
        <v>3</v>
      </c>
      <c r="B23" s="68">
        <f t="shared" si="2"/>
        <v>5967.9650000000001</v>
      </c>
      <c r="C23" s="65">
        <f>C24+3.3</f>
        <v>10.1</v>
      </c>
      <c r="D23" s="66">
        <f t="shared" si="3"/>
        <v>60276.446499999998</v>
      </c>
      <c r="E23" s="68">
        <f t="shared" si="4"/>
        <v>350.23817008757601</v>
      </c>
      <c r="F23" s="68">
        <f>F22+E23</f>
        <v>1917.8075842584285</v>
      </c>
    </row>
    <row r="24" spans="1:6" x14ac:dyDescent="0.25">
      <c r="A24" s="65">
        <v>2</v>
      </c>
      <c r="B24" s="68">
        <f t="shared" si="2"/>
        <v>5967.9650000000001</v>
      </c>
      <c r="C24" s="65">
        <f>C25+3.3</f>
        <v>6.8</v>
      </c>
      <c r="D24" s="66">
        <f t="shared" si="3"/>
        <v>40582.161999999997</v>
      </c>
      <c r="E24" s="68">
        <f t="shared" si="4"/>
        <v>235.80391649460563</v>
      </c>
      <c r="F24" s="68">
        <f>F23+E24</f>
        <v>2153.6115007530343</v>
      </c>
    </row>
    <row r="25" spans="1:6" x14ac:dyDescent="0.25">
      <c r="A25" s="65">
        <v>1</v>
      </c>
      <c r="B25" s="68">
        <f t="shared" si="2"/>
        <v>5296.6810000000005</v>
      </c>
      <c r="C25" s="65">
        <v>3.5</v>
      </c>
      <c r="D25" s="66">
        <f t="shared" si="3"/>
        <v>18538.383500000004</v>
      </c>
      <c r="E25" s="68">
        <f t="shared" si="4"/>
        <v>107.71785482446636</v>
      </c>
      <c r="F25" s="68">
        <f>F24+E25</f>
        <v>2261.3293555775008</v>
      </c>
    </row>
    <row r="26" spans="1:6" x14ac:dyDescent="0.25">
      <c r="A26" s="65" t="s">
        <v>11</v>
      </c>
      <c r="B26" s="69"/>
      <c r="C26" s="69"/>
      <c r="D26" s="66">
        <f>SUM(D20:D25)</f>
        <v>389177.73550000001</v>
      </c>
      <c r="E26" s="69"/>
      <c r="F26" s="6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="55" zoomScaleNormal="55" workbookViewId="0">
      <selection activeCell="J49" sqref="J49"/>
    </sheetView>
  </sheetViews>
  <sheetFormatPr defaultRowHeight="15" x14ac:dyDescent="0.25"/>
  <cols>
    <col min="1" max="1" width="20.28515625" customWidth="1"/>
    <col min="2" max="2" width="11.5703125" customWidth="1"/>
    <col min="3" max="3" width="16.140625" customWidth="1"/>
    <col min="4" max="4" width="18.7109375" customWidth="1"/>
    <col min="5" max="5" width="13.5703125" customWidth="1"/>
    <col min="6" max="6" width="15.140625" customWidth="1"/>
    <col min="7" max="7" width="11.85546875" customWidth="1"/>
    <col min="8" max="8" width="5.5703125" customWidth="1"/>
    <col min="9" max="9" width="15.28515625" customWidth="1"/>
    <col min="10" max="10" width="15.85546875" customWidth="1"/>
    <col min="11" max="11" width="11.28515625" customWidth="1"/>
    <col min="12" max="12" width="10.7109375" customWidth="1"/>
    <col min="14" max="14" width="12.28515625" customWidth="1"/>
    <col min="15" max="15" width="14.7109375" customWidth="1"/>
  </cols>
  <sheetData>
    <row r="1" spans="1:12" x14ac:dyDescent="0.25">
      <c r="A1" s="38" t="s">
        <v>12</v>
      </c>
      <c r="B1" s="38">
        <v>13</v>
      </c>
      <c r="C1" s="7"/>
      <c r="D1" s="52" t="s">
        <v>141</v>
      </c>
      <c r="E1" s="52" t="s">
        <v>152</v>
      </c>
      <c r="F1" s="9"/>
    </row>
    <row r="2" spans="1:12" x14ac:dyDescent="0.25">
      <c r="A2" s="38" t="s">
        <v>13</v>
      </c>
      <c r="B2" s="39"/>
      <c r="D2" s="8">
        <v>6</v>
      </c>
      <c r="E2" s="10">
        <f>rigidezze!D80</f>
        <v>16.429249480866211</v>
      </c>
      <c r="F2" s="9"/>
    </row>
    <row r="3" spans="1:12" x14ac:dyDescent="0.25">
      <c r="A3" s="38" t="s">
        <v>14</v>
      </c>
      <c r="B3" s="38">
        <v>3.3</v>
      </c>
      <c r="D3" s="8" t="s">
        <v>153</v>
      </c>
      <c r="E3" s="10">
        <f>rigidezze!D81</f>
        <v>15.815479115479116</v>
      </c>
      <c r="F3" s="9"/>
    </row>
    <row r="4" spans="1:12" x14ac:dyDescent="0.25">
      <c r="A4" s="38" t="s">
        <v>99</v>
      </c>
      <c r="B4" s="55">
        <v>3.8022</v>
      </c>
      <c r="D4" s="8">
        <v>1</v>
      </c>
      <c r="E4" s="21">
        <f>rigidezze!D82</f>
        <v>14.970611285266456</v>
      </c>
      <c r="F4" s="9"/>
    </row>
    <row r="5" spans="1:12" x14ac:dyDescent="0.25">
      <c r="I5" s="39"/>
      <c r="J5" s="39" t="s">
        <v>33</v>
      </c>
      <c r="K5" s="39"/>
      <c r="L5" s="39"/>
    </row>
    <row r="6" spans="1:12" x14ac:dyDescent="0.25">
      <c r="A6" s="77" t="s">
        <v>15</v>
      </c>
      <c r="B6" s="77" t="s">
        <v>193</v>
      </c>
      <c r="C6" s="77" t="s">
        <v>194</v>
      </c>
      <c r="D6" s="77" t="s">
        <v>195</v>
      </c>
      <c r="E6" s="77" t="s">
        <v>196</v>
      </c>
      <c r="F6" s="77" t="s">
        <v>197</v>
      </c>
      <c r="G6" s="77" t="s">
        <v>198</v>
      </c>
      <c r="I6" s="39" t="s">
        <v>31</v>
      </c>
      <c r="J6" s="38" t="s">
        <v>32</v>
      </c>
      <c r="K6" s="39" t="s">
        <v>34</v>
      </c>
      <c r="L6" s="39"/>
    </row>
    <row r="7" spans="1:12" x14ac:dyDescent="0.25">
      <c r="A7" s="77">
        <v>6</v>
      </c>
      <c r="B7" s="78">
        <f>'masse e forze direzione y'!F20</f>
        <v>523.79031321678917</v>
      </c>
      <c r="C7" s="78">
        <f>B7/E2</f>
        <v>31.88157279045549</v>
      </c>
      <c r="D7" s="77">
        <f>0.5*$B$3</f>
        <v>1.65</v>
      </c>
      <c r="E7" s="78">
        <f>C7*D7</f>
        <v>52.604595104251558</v>
      </c>
      <c r="F7" s="78">
        <f>E7/2</f>
        <v>26.302297552125779</v>
      </c>
      <c r="G7" s="79">
        <f>2*(F7/$B$4)</f>
        <v>13.835304587936342</v>
      </c>
      <c r="I7" s="55">
        <f>(C7*20/100)+C7</f>
        <v>38.257887348546589</v>
      </c>
      <c r="J7" s="70">
        <f>(E7*20/100)+E7</f>
        <v>63.125514125101873</v>
      </c>
      <c r="K7" s="70">
        <f>(F7*20/100)+F7</f>
        <v>31.562757062550936</v>
      </c>
      <c r="L7" s="39"/>
    </row>
    <row r="8" spans="1:12" x14ac:dyDescent="0.25">
      <c r="A8" s="77">
        <v>5</v>
      </c>
      <c r="B8" s="78">
        <f>'masse e forze direzione y'!F21</f>
        <v>1102.8969904903061</v>
      </c>
      <c r="C8" s="78">
        <f>B8/E3</f>
        <v>69.73528796929493</v>
      </c>
      <c r="D8" s="77">
        <f t="shared" ref="D8:D11" si="0">0.5*$B$3</f>
        <v>1.65</v>
      </c>
      <c r="E8" s="78">
        <f t="shared" ref="E8:E12" si="1">C8*D8</f>
        <v>115.06322514933663</v>
      </c>
      <c r="F8" s="78">
        <f>(E7+E8)/2</f>
        <v>83.833910126794095</v>
      </c>
      <c r="G8" s="80">
        <f>((F7+F8)/$B$4)*2</f>
        <v>57.932885002850917</v>
      </c>
      <c r="I8" s="55">
        <f t="shared" ref="I8:I12" si="2">(C8*20/100)+C8</f>
        <v>83.682345563153916</v>
      </c>
      <c r="J8" s="70">
        <f t="shared" ref="J8:K12" si="3">(E8*20/100)+E8</f>
        <v>138.07587017920395</v>
      </c>
      <c r="K8" s="70">
        <f t="shared" si="3"/>
        <v>100.60069215215292</v>
      </c>
      <c r="L8" s="39"/>
    </row>
    <row r="9" spans="1:12" x14ac:dyDescent="0.25">
      <c r="A9" s="77">
        <v>4</v>
      </c>
      <c r="B9" s="78">
        <f>'masse e forze direzione y'!F22</f>
        <v>1567.5694141708525</v>
      </c>
      <c r="C9" s="78">
        <f>B9/E3</f>
        <v>99.116150875038755</v>
      </c>
      <c r="D9" s="77">
        <f t="shared" si="0"/>
        <v>1.65</v>
      </c>
      <c r="E9" s="78">
        <f t="shared" si="1"/>
        <v>163.54164894381393</v>
      </c>
      <c r="F9" s="78">
        <f>(E8+E9)/2</f>
        <v>139.30243704657528</v>
      </c>
      <c r="G9" s="80">
        <f t="shared" ref="G9:G12" si="4">((F8+F9)/$B$4)*2</f>
        <v>117.3722303789224</v>
      </c>
      <c r="I9" s="55">
        <f t="shared" si="2"/>
        <v>118.93938105004651</v>
      </c>
      <c r="J9" s="70">
        <f t="shared" si="3"/>
        <v>196.24997873257672</v>
      </c>
      <c r="K9" s="70">
        <f t="shared" si="3"/>
        <v>167.16292445589033</v>
      </c>
      <c r="L9" s="39"/>
    </row>
    <row r="10" spans="1:12" x14ac:dyDescent="0.25">
      <c r="A10" s="77">
        <v>3</v>
      </c>
      <c r="B10" s="78">
        <f>'masse e forze direzione y'!F23</f>
        <v>1917.8075842584285</v>
      </c>
      <c r="C10" s="78">
        <f>B10/E3</f>
        <v>121.26142813981581</v>
      </c>
      <c r="D10" s="77">
        <f t="shared" si="0"/>
        <v>1.65</v>
      </c>
      <c r="E10" s="78">
        <f t="shared" si="1"/>
        <v>200.08135643069608</v>
      </c>
      <c r="F10" s="78">
        <f t="shared" ref="F10:F12" si="5">(E9+E10)/2</f>
        <v>181.811502687255</v>
      </c>
      <c r="G10" s="80">
        <f t="shared" si="4"/>
        <v>168.90954696429978</v>
      </c>
      <c r="I10" s="55">
        <f t="shared" si="2"/>
        <v>145.51371376777897</v>
      </c>
      <c r="J10" s="70">
        <f t="shared" si="3"/>
        <v>240.09762771683529</v>
      </c>
      <c r="K10" s="70">
        <f t="shared" si="3"/>
        <v>218.17380322470601</v>
      </c>
      <c r="L10" s="39"/>
    </row>
    <row r="11" spans="1:12" x14ac:dyDescent="0.25">
      <c r="A11" s="77">
        <v>2</v>
      </c>
      <c r="B11" s="78">
        <f>'masse e forze direzione y'!F24</f>
        <v>2153.6115007530343</v>
      </c>
      <c r="C11" s="78">
        <f>B11/E3</f>
        <v>136.17111976362611</v>
      </c>
      <c r="D11" s="77">
        <f t="shared" si="0"/>
        <v>1.65</v>
      </c>
      <c r="E11" s="78">
        <f t="shared" si="1"/>
        <v>224.68234760998305</v>
      </c>
      <c r="F11" s="78">
        <f t="shared" si="5"/>
        <v>212.38185202033958</v>
      </c>
      <c r="G11" s="80">
        <f t="shared" si="4"/>
        <v>207.35014186923075</v>
      </c>
      <c r="I11" s="55">
        <f t="shared" si="2"/>
        <v>163.40534371635133</v>
      </c>
      <c r="J11" s="70">
        <f t="shared" si="3"/>
        <v>269.61881713197965</v>
      </c>
      <c r="K11" s="70">
        <f t="shared" si="3"/>
        <v>254.8582224244075</v>
      </c>
      <c r="L11" s="39"/>
    </row>
    <row r="12" spans="1:12" x14ac:dyDescent="0.25">
      <c r="A12" s="77">
        <v>1</v>
      </c>
      <c r="B12" s="78">
        <f>'masse e forze direzione y'!F25</f>
        <v>2261.3293555775008</v>
      </c>
      <c r="C12" s="78">
        <f>B12/E4</f>
        <v>151.05123715308946</v>
      </c>
      <c r="D12" s="77">
        <f>0.4*$B$3</f>
        <v>1.32</v>
      </c>
      <c r="E12" s="78">
        <f t="shared" si="1"/>
        <v>199.38763304207811</v>
      </c>
      <c r="F12" s="78">
        <f t="shared" si="5"/>
        <v>212.0349903260306</v>
      </c>
      <c r="G12" s="80">
        <f t="shared" si="4"/>
        <v>223.24803658217357</v>
      </c>
      <c r="I12" s="55">
        <f t="shared" si="2"/>
        <v>181.26148458370736</v>
      </c>
      <c r="J12" s="70">
        <f t="shared" si="3"/>
        <v>239.26515965049373</v>
      </c>
      <c r="K12" s="70">
        <f t="shared" si="3"/>
        <v>254.44198839123672</v>
      </c>
      <c r="L12" s="39"/>
    </row>
    <row r="13" spans="1:12" x14ac:dyDescent="0.25">
      <c r="A13" s="77" t="s">
        <v>16</v>
      </c>
      <c r="B13" s="77"/>
      <c r="C13" s="81"/>
      <c r="D13" s="77">
        <f>0.6*$B$3</f>
        <v>1.9799999999999998</v>
      </c>
      <c r="E13" s="78">
        <f>C12*D13</f>
        <v>299.08144956311708</v>
      </c>
      <c r="F13" s="79"/>
      <c r="G13" s="80"/>
      <c r="I13" s="39"/>
      <c r="J13" s="70">
        <f>(E13*20/100)+E13</f>
        <v>358.89773947574048</v>
      </c>
      <c r="K13" s="39"/>
      <c r="L13" s="39"/>
    </row>
    <row r="15" spans="1:12" x14ac:dyDescent="0.25">
      <c r="A15" s="73" t="s">
        <v>100</v>
      </c>
      <c r="B15" s="74" t="s">
        <v>127</v>
      </c>
      <c r="C15" s="64"/>
    </row>
    <row r="16" spans="1:12" x14ac:dyDescent="0.25">
      <c r="A16" s="64" t="s">
        <v>96</v>
      </c>
      <c r="B16" s="64" t="s">
        <v>65</v>
      </c>
      <c r="C16" s="64"/>
      <c r="G16" s="16"/>
    </row>
    <row r="17" spans="1:14" x14ac:dyDescent="0.25">
      <c r="A17" s="64" t="s">
        <v>62</v>
      </c>
      <c r="B17" s="64" t="s">
        <v>63</v>
      </c>
      <c r="C17" s="71">
        <f>(('carichi unitari'!C20)*(5.6321*5.6321))/10</f>
        <v>170.82638668858507</v>
      </c>
    </row>
    <row r="18" spans="1:14" x14ac:dyDescent="0.25">
      <c r="A18" s="64" t="s">
        <v>64</v>
      </c>
      <c r="B18" s="64"/>
      <c r="C18" s="71">
        <f>K26</f>
        <v>254.44198839123672</v>
      </c>
      <c r="H18" s="39"/>
      <c r="I18" s="39"/>
      <c r="J18" s="38" t="s">
        <v>94</v>
      </c>
      <c r="K18" s="38"/>
      <c r="L18" s="38"/>
      <c r="M18" s="1"/>
      <c r="N18" s="1"/>
    </row>
    <row r="19" spans="1:14" x14ac:dyDescent="0.25">
      <c r="A19" s="64" t="s">
        <v>97</v>
      </c>
      <c r="B19" s="64"/>
      <c r="C19" s="71">
        <f>SUM(C17:C18)</f>
        <v>425.26837507982179</v>
      </c>
      <c r="H19" s="39"/>
      <c r="I19" s="39"/>
      <c r="J19" s="39"/>
      <c r="K19" s="39"/>
      <c r="L19" s="39"/>
    </row>
    <row r="20" spans="1:14" x14ac:dyDescent="0.25">
      <c r="A20" s="64"/>
      <c r="B20" s="64"/>
      <c r="C20" s="64"/>
      <c r="H20" s="39"/>
      <c r="I20" s="38" t="s">
        <v>31</v>
      </c>
      <c r="J20" s="38" t="s">
        <v>32</v>
      </c>
      <c r="K20" s="38" t="s">
        <v>34</v>
      </c>
      <c r="L20" s="39"/>
    </row>
    <row r="21" spans="1:14" x14ac:dyDescent="0.25">
      <c r="A21" s="64" t="s">
        <v>66</v>
      </c>
      <c r="B21" s="64"/>
      <c r="C21" s="64"/>
      <c r="H21" s="39"/>
      <c r="I21" s="55">
        <f t="shared" ref="I21:I26" si="6">I7</f>
        <v>38.257887348546589</v>
      </c>
      <c r="J21" s="70">
        <f>J7*1.5</f>
        <v>94.688271187652816</v>
      </c>
      <c r="K21" s="70">
        <f t="shared" ref="K21:K26" si="7">K7</f>
        <v>31.562757062550936</v>
      </c>
      <c r="L21" s="39"/>
    </row>
    <row r="22" spans="1:14" x14ac:dyDescent="0.25">
      <c r="A22" s="64" t="s">
        <v>67</v>
      </c>
      <c r="B22" s="62">
        <v>0.3</v>
      </c>
      <c r="C22" s="64" t="s">
        <v>98</v>
      </c>
      <c r="H22" s="39"/>
      <c r="I22" s="55">
        <f t="shared" si="6"/>
        <v>83.682345563153916</v>
      </c>
      <c r="J22" s="70">
        <f t="shared" ref="J22:J26" si="8">J8*1.5</f>
        <v>207.11380526880592</v>
      </c>
      <c r="K22" s="70">
        <f t="shared" si="7"/>
        <v>100.60069215215292</v>
      </c>
      <c r="L22" s="39"/>
    </row>
    <row r="23" spans="1:14" x14ac:dyDescent="0.25">
      <c r="A23" s="64" t="s">
        <v>68</v>
      </c>
      <c r="B23" s="62" t="s">
        <v>69</v>
      </c>
      <c r="C23" s="64"/>
      <c r="H23" s="39"/>
      <c r="I23" s="55">
        <f t="shared" si="6"/>
        <v>118.93938105004651</v>
      </c>
      <c r="J23" s="70">
        <f t="shared" si="8"/>
        <v>294.37496809886511</v>
      </c>
      <c r="K23" s="70">
        <f t="shared" si="7"/>
        <v>167.16292445589033</v>
      </c>
      <c r="L23" s="39"/>
    </row>
    <row r="24" spans="1:14" x14ac:dyDescent="0.25">
      <c r="A24" s="64" t="s">
        <v>70</v>
      </c>
      <c r="B24" s="62">
        <v>0.04</v>
      </c>
      <c r="C24" s="64" t="s">
        <v>98</v>
      </c>
      <c r="H24" s="39"/>
      <c r="I24" s="55">
        <f t="shared" si="6"/>
        <v>145.51371376777897</v>
      </c>
      <c r="J24" s="70">
        <f t="shared" si="8"/>
        <v>360.14644157525294</v>
      </c>
      <c r="K24" s="70">
        <f t="shared" si="7"/>
        <v>218.17380322470601</v>
      </c>
      <c r="L24" s="39"/>
    </row>
    <row r="25" spans="1:14" x14ac:dyDescent="0.25">
      <c r="A25" s="64" t="s">
        <v>71</v>
      </c>
      <c r="B25" s="63">
        <f>C19</f>
        <v>425.26837507982179</v>
      </c>
      <c r="C25" s="64"/>
      <c r="H25" s="39"/>
      <c r="I25" s="55">
        <f t="shared" si="6"/>
        <v>163.40534371635133</v>
      </c>
      <c r="J25" s="70">
        <f t="shared" si="8"/>
        <v>404.42822569796948</v>
      </c>
      <c r="K25" s="70">
        <f t="shared" si="7"/>
        <v>254.8582224244075</v>
      </c>
      <c r="L25" s="39"/>
    </row>
    <row r="26" spans="1:14" x14ac:dyDescent="0.25">
      <c r="A26" s="64" t="s">
        <v>72</v>
      </c>
      <c r="B26" s="62">
        <v>25</v>
      </c>
      <c r="C26" s="64"/>
      <c r="H26" s="39"/>
      <c r="I26" s="55">
        <f t="shared" si="6"/>
        <v>181.26148458370736</v>
      </c>
      <c r="J26" s="70">
        <f t="shared" si="8"/>
        <v>358.89773947574059</v>
      </c>
      <c r="K26" s="70">
        <f t="shared" si="7"/>
        <v>254.44198839123672</v>
      </c>
      <c r="L26" s="39"/>
    </row>
    <row r="27" spans="1:14" x14ac:dyDescent="0.25">
      <c r="A27" s="64" t="s">
        <v>73</v>
      </c>
      <c r="B27" s="62">
        <v>1.7000000000000001E-2</v>
      </c>
      <c r="C27" s="64"/>
      <c r="H27" s="39"/>
      <c r="I27" s="39"/>
      <c r="J27" s="70">
        <f>J13</f>
        <v>358.89773947574048</v>
      </c>
      <c r="K27" s="39"/>
      <c r="L27" s="39"/>
    </row>
    <row r="28" spans="1:14" x14ac:dyDescent="0.25">
      <c r="A28" s="64"/>
      <c r="B28" s="62"/>
      <c r="C28" s="64" t="s">
        <v>75</v>
      </c>
    </row>
    <row r="29" spans="1:14" x14ac:dyDescent="0.25">
      <c r="A29" s="64" t="s">
        <v>68</v>
      </c>
      <c r="B29" s="75">
        <f>B27*SQRT(B25/B22)</f>
        <v>0.640058748340256</v>
      </c>
      <c r="C29" s="64"/>
      <c r="D29" s="15" t="s">
        <v>74</v>
      </c>
      <c r="E29" s="15"/>
      <c r="F29" s="15"/>
      <c r="G29" s="15" t="s">
        <v>242</v>
      </c>
      <c r="I29" t="s">
        <v>112</v>
      </c>
    </row>
    <row r="32" spans="1:14" x14ac:dyDescent="0.25">
      <c r="A32" s="15" t="s">
        <v>101</v>
      </c>
      <c r="B32" s="15"/>
    </row>
    <row r="33" spans="1:8" x14ac:dyDescent="0.25">
      <c r="B33" s="17"/>
    </row>
    <row r="34" spans="1:8" x14ac:dyDescent="0.25">
      <c r="A34" s="77" t="s">
        <v>0</v>
      </c>
      <c r="B34" s="78" t="s">
        <v>93</v>
      </c>
      <c r="C34" s="77" t="s">
        <v>105</v>
      </c>
      <c r="D34" s="77" t="s">
        <v>102</v>
      </c>
      <c r="E34" s="77" t="s">
        <v>103</v>
      </c>
      <c r="F34" s="77" t="s">
        <v>106</v>
      </c>
      <c r="G34" s="77" t="s">
        <v>107</v>
      </c>
      <c r="H34" s="1"/>
    </row>
    <row r="35" spans="1:8" x14ac:dyDescent="0.25">
      <c r="A35" s="77">
        <v>6</v>
      </c>
      <c r="B35" s="78">
        <f>J21</f>
        <v>94.688271187652816</v>
      </c>
      <c r="C35" s="78">
        <f>G7</f>
        <v>13.835304587936342</v>
      </c>
      <c r="D35" s="78">
        <f>'carichi unitari'!D73</f>
        <v>317.46439829430005</v>
      </c>
      <c r="E35" s="82">
        <f>'carichi unitari'!E73</f>
        <v>125.87298625000003</v>
      </c>
      <c r="F35" s="78">
        <f>D35+C35</f>
        <v>331.29970288223637</v>
      </c>
      <c r="G35" s="82">
        <f>E35-C35</f>
        <v>112.03768166206368</v>
      </c>
    </row>
    <row r="36" spans="1:8" x14ac:dyDescent="0.25">
      <c r="A36" s="77">
        <v>5</v>
      </c>
      <c r="B36" s="78">
        <f t="shared" ref="B36:B40" si="9">J22</f>
        <v>207.11380526880592</v>
      </c>
      <c r="C36" s="78">
        <f t="shared" ref="C36:C40" si="10">G8</f>
        <v>57.932885002850917</v>
      </c>
      <c r="D36" s="78">
        <f>'carichi unitari'!D74</f>
        <v>634.92879658860011</v>
      </c>
      <c r="E36" s="82">
        <f>'carichi unitari'!E74</f>
        <v>251.74597250000005</v>
      </c>
      <c r="F36" s="78">
        <f t="shared" ref="F36:F40" si="11">D36+C36</f>
        <v>692.86168159145097</v>
      </c>
      <c r="G36" s="82">
        <f t="shared" ref="G36:G40" si="12">E36-C36</f>
        <v>193.81308749714913</v>
      </c>
    </row>
    <row r="37" spans="1:8" x14ac:dyDescent="0.25">
      <c r="A37" s="77">
        <v>4</v>
      </c>
      <c r="B37" s="78">
        <f t="shared" si="9"/>
        <v>294.37496809886511</v>
      </c>
      <c r="C37" s="78">
        <f t="shared" si="10"/>
        <v>117.3722303789224</v>
      </c>
      <c r="D37" s="78">
        <f>'carichi unitari'!D75</f>
        <v>952.39319488290016</v>
      </c>
      <c r="E37" s="82">
        <f>'carichi unitari'!E75</f>
        <v>377.61895875000005</v>
      </c>
      <c r="F37" s="78">
        <f t="shared" si="11"/>
        <v>1069.7654252618227</v>
      </c>
      <c r="G37" s="82">
        <f t="shared" si="12"/>
        <v>260.24672837107767</v>
      </c>
    </row>
    <row r="38" spans="1:8" x14ac:dyDescent="0.25">
      <c r="A38" s="77">
        <v>3</v>
      </c>
      <c r="B38" s="78">
        <f t="shared" si="9"/>
        <v>360.14644157525294</v>
      </c>
      <c r="C38" s="78">
        <f t="shared" si="10"/>
        <v>168.90954696429978</v>
      </c>
      <c r="D38" s="78">
        <f>'carichi unitari'!D76</f>
        <v>1269.8575931772002</v>
      </c>
      <c r="E38" s="82">
        <f>'carichi unitari'!E76</f>
        <v>503.4919450000001</v>
      </c>
      <c r="F38" s="78">
        <f t="shared" si="11"/>
        <v>1438.7671401415</v>
      </c>
      <c r="G38" s="82">
        <f t="shared" si="12"/>
        <v>334.58239803570029</v>
      </c>
    </row>
    <row r="39" spans="1:8" x14ac:dyDescent="0.25">
      <c r="A39" s="77">
        <v>2</v>
      </c>
      <c r="B39" s="78">
        <f t="shared" si="9"/>
        <v>404.42822569796948</v>
      </c>
      <c r="C39" s="78">
        <f t="shared" si="10"/>
        <v>207.35014186923075</v>
      </c>
      <c r="D39" s="78">
        <f>'carichi unitari'!D77</f>
        <v>1587.3219914715003</v>
      </c>
      <c r="E39" s="82">
        <f>'carichi unitari'!E77</f>
        <v>629.36493125000015</v>
      </c>
      <c r="F39" s="78">
        <f t="shared" si="11"/>
        <v>1794.6721333407311</v>
      </c>
      <c r="G39" s="82">
        <f t="shared" si="12"/>
        <v>422.0147893807694</v>
      </c>
    </row>
    <row r="40" spans="1:8" x14ac:dyDescent="0.25">
      <c r="A40" s="77">
        <v>1</v>
      </c>
      <c r="B40" s="78">
        <f t="shared" si="9"/>
        <v>358.89773947574059</v>
      </c>
      <c r="C40" s="78">
        <f t="shared" si="10"/>
        <v>223.24803658217357</v>
      </c>
      <c r="D40" s="78">
        <f>'carichi unitari'!D78</f>
        <v>1904.7863897658003</v>
      </c>
      <c r="E40" s="82">
        <f>'carichi unitari'!E78</f>
        <v>755.23791750000009</v>
      </c>
      <c r="F40" s="78">
        <f t="shared" si="11"/>
        <v>2128.0344263479737</v>
      </c>
      <c r="G40" s="82">
        <f t="shared" si="12"/>
        <v>531.98988091782655</v>
      </c>
    </row>
    <row r="41" spans="1:8" x14ac:dyDescent="0.25">
      <c r="A41" s="81"/>
      <c r="B41" s="78">
        <f>J27</f>
        <v>358.89773947574048</v>
      </c>
      <c r="C41" s="81"/>
      <c r="D41" s="81"/>
      <c r="E41" s="81"/>
      <c r="F41" s="81"/>
      <c r="G41" s="81"/>
    </row>
    <row r="42" spans="1:8" x14ac:dyDescent="0.25">
      <c r="A42" s="15" t="s">
        <v>177</v>
      </c>
    </row>
    <row r="43" spans="1:8" x14ac:dyDescent="0.25">
      <c r="A43" s="64" t="s">
        <v>108</v>
      </c>
      <c r="B43" s="71">
        <f>J27</f>
        <v>358.89773947574048</v>
      </c>
    </row>
    <row r="44" spans="1:8" x14ac:dyDescent="0.25">
      <c r="A44" s="64" t="s">
        <v>109</v>
      </c>
      <c r="B44" s="71">
        <f>F40</f>
        <v>2128.0344263479737</v>
      </c>
      <c r="D44" s="33" t="s">
        <v>111</v>
      </c>
      <c r="E44" t="s">
        <v>112</v>
      </c>
    </row>
    <row r="45" spans="1:8" x14ac:dyDescent="0.25">
      <c r="A45" s="64" t="s">
        <v>110</v>
      </c>
      <c r="B45" s="76">
        <f>G40</f>
        <v>531.98988091782655</v>
      </c>
      <c r="C45" s="32" t="s">
        <v>149</v>
      </c>
      <c r="D45" s="49">
        <f>J25</f>
        <v>404.42822569796948</v>
      </c>
    </row>
    <row r="46" spans="1:8" x14ac:dyDescent="0.25">
      <c r="A46" s="64"/>
      <c r="B46" s="64"/>
    </row>
    <row r="47" spans="1:8" x14ac:dyDescent="0.25">
      <c r="A47" s="41" t="s">
        <v>441</v>
      </c>
      <c r="B47" s="42"/>
      <c r="C47" s="43"/>
    </row>
    <row r="51" spans="9:12" x14ac:dyDescent="0.25">
      <c r="I51" s="73"/>
      <c r="J51" s="74"/>
      <c r="K51" s="64"/>
      <c r="L51" s="7"/>
    </row>
    <row r="52" spans="9:12" x14ac:dyDescent="0.25">
      <c r="I52" s="64"/>
      <c r="J52" s="64"/>
      <c r="K52" s="64"/>
      <c r="L52" s="7"/>
    </row>
    <row r="53" spans="9:12" x14ac:dyDescent="0.25">
      <c r="I53" s="64"/>
      <c r="J53" s="64"/>
      <c r="K53" s="63"/>
      <c r="L53" s="7"/>
    </row>
    <row r="54" spans="9:12" x14ac:dyDescent="0.25">
      <c r="I54" s="64"/>
      <c r="J54" s="64"/>
      <c r="K54" s="63"/>
      <c r="L54" s="7"/>
    </row>
    <row r="55" spans="9:12" x14ac:dyDescent="0.25">
      <c r="I55" s="64"/>
      <c r="J55" s="64"/>
      <c r="K55" s="63"/>
      <c r="L55" s="7"/>
    </row>
    <row r="56" spans="9:12" x14ac:dyDescent="0.25">
      <c r="I56" s="64"/>
      <c r="J56" s="64"/>
      <c r="K56" s="64"/>
      <c r="L56" s="7"/>
    </row>
    <row r="57" spans="9:12" x14ac:dyDescent="0.25">
      <c r="I57" s="64"/>
      <c r="J57" s="64"/>
      <c r="K57" s="64"/>
      <c r="L57" s="7"/>
    </row>
    <row r="58" spans="9:12" x14ac:dyDescent="0.25">
      <c r="I58" s="64"/>
      <c r="J58" s="64"/>
      <c r="K58" s="64"/>
      <c r="L58" s="7"/>
    </row>
    <row r="59" spans="9:12" x14ac:dyDescent="0.25">
      <c r="I59" s="64"/>
      <c r="J59" s="62"/>
      <c r="K59" s="64"/>
      <c r="L59" s="7"/>
    </row>
    <row r="60" spans="9:12" x14ac:dyDescent="0.25">
      <c r="I60" s="64"/>
      <c r="J60" s="64"/>
      <c r="K60" s="64"/>
      <c r="L60" s="7"/>
    </row>
    <row r="61" spans="9:12" x14ac:dyDescent="0.25">
      <c r="I61" s="64"/>
      <c r="J61" s="71"/>
      <c r="K61" s="64"/>
      <c r="L61" s="7"/>
    </row>
    <row r="62" spans="9:12" x14ac:dyDescent="0.25">
      <c r="I62" s="64"/>
      <c r="J62" s="64"/>
      <c r="K62" s="64"/>
      <c r="L62" s="7"/>
    </row>
    <row r="63" spans="9:12" x14ac:dyDescent="0.25">
      <c r="I63" s="64"/>
      <c r="J63" s="64"/>
      <c r="K63" s="64"/>
      <c r="L63" s="7"/>
    </row>
    <row r="64" spans="9:12" x14ac:dyDescent="0.25">
      <c r="I64" s="64"/>
      <c r="J64" s="64"/>
      <c r="K64" s="64"/>
      <c r="L64" s="7"/>
    </row>
    <row r="65" spans="9:14" x14ac:dyDescent="0.25">
      <c r="I65" s="64"/>
      <c r="J65" s="72"/>
      <c r="K65" s="64"/>
      <c r="L65" s="7"/>
      <c r="M65" s="15"/>
      <c r="N65" s="15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zoomScale="83" zoomScaleNormal="83" workbookViewId="0">
      <selection activeCell="H19" sqref="H19"/>
    </sheetView>
  </sheetViews>
  <sheetFormatPr defaultRowHeight="15" x14ac:dyDescent="0.25"/>
  <cols>
    <col min="2" max="2" width="18.28515625" customWidth="1"/>
    <col min="3" max="3" width="23.5703125" customWidth="1"/>
    <col min="4" max="4" width="21.28515625" customWidth="1"/>
    <col min="5" max="5" width="23.5703125" customWidth="1"/>
    <col min="6" max="6" width="18.140625" customWidth="1"/>
    <col min="8" max="8" width="9.42578125" bestFit="1" customWidth="1"/>
    <col min="9" max="9" width="10.42578125" bestFit="1" customWidth="1"/>
  </cols>
  <sheetData>
    <row r="1" spans="1:4" x14ac:dyDescent="0.25">
      <c r="A1" s="15" t="s">
        <v>360</v>
      </c>
      <c r="B1" s="116"/>
    </row>
    <row r="2" spans="1:4" x14ac:dyDescent="0.25">
      <c r="A2" s="91"/>
      <c r="B2" s="91" t="s">
        <v>203</v>
      </c>
      <c r="C2" s="91"/>
      <c r="D2" s="95"/>
    </row>
    <row r="3" spans="1:4" x14ac:dyDescent="0.25">
      <c r="A3" s="91" t="s">
        <v>0</v>
      </c>
      <c r="B3" s="91" t="s">
        <v>200</v>
      </c>
      <c r="C3" s="91" t="s">
        <v>201</v>
      </c>
      <c r="D3" s="91" t="s">
        <v>403</v>
      </c>
    </row>
    <row r="4" spans="1:4" x14ac:dyDescent="0.25">
      <c r="A4" s="92">
        <v>6</v>
      </c>
      <c r="B4" s="12">
        <f>'car.sollecitazione  direzione x'!E7</f>
        <v>50.986436395672946</v>
      </c>
      <c r="C4" s="2">
        <v>70.81</v>
      </c>
      <c r="D4" s="2">
        <v>74.48</v>
      </c>
    </row>
    <row r="5" spans="1:4" x14ac:dyDescent="0.25">
      <c r="A5" s="92">
        <v>5</v>
      </c>
      <c r="B5" s="12">
        <f>'car.sollecitazione  direzione x'!E8</f>
        <v>115.02656638739217</v>
      </c>
      <c r="C5" s="2">
        <v>146.66999999999999</v>
      </c>
      <c r="D5" s="2">
        <v>144.69999999999999</v>
      </c>
    </row>
    <row r="6" spans="1:4" x14ac:dyDescent="0.25">
      <c r="A6" s="92">
        <v>4</v>
      </c>
      <c r="B6" s="12">
        <f>'car.sollecitazione  direzione x'!E9</f>
        <v>163.48954511681919</v>
      </c>
      <c r="C6" s="2">
        <v>191.04</v>
      </c>
      <c r="D6" s="2">
        <v>183.9</v>
      </c>
    </row>
    <row r="7" spans="1:4" x14ac:dyDescent="0.25">
      <c r="A7" s="92">
        <v>3</v>
      </c>
      <c r="B7" s="12">
        <f>'car.sollecitazione  direzione x'!E10</f>
        <v>200.01761117407389</v>
      </c>
      <c r="C7" s="2">
        <v>223.46</v>
      </c>
      <c r="D7" s="2">
        <v>215.39</v>
      </c>
    </row>
    <row r="8" spans="1:4" x14ac:dyDescent="0.25">
      <c r="A8" s="92">
        <v>2</v>
      </c>
      <c r="B8" s="12">
        <f>'car.sollecitazione  direzione x'!E11</f>
        <v>224.61076455915625</v>
      </c>
      <c r="C8" s="2">
        <v>238.41</v>
      </c>
      <c r="D8" s="2">
        <v>232.59</v>
      </c>
    </row>
    <row r="9" spans="1:4" x14ac:dyDescent="0.25">
      <c r="A9" s="92">
        <v>1</v>
      </c>
      <c r="B9" s="12">
        <f>'car.sollecitazione  direzione x'!E12</f>
        <v>163.36239021080871</v>
      </c>
      <c r="C9" s="2">
        <v>173.39</v>
      </c>
      <c r="D9" s="2">
        <v>172.2</v>
      </c>
    </row>
    <row r="10" spans="1:4" x14ac:dyDescent="0.25">
      <c r="A10" s="92" t="s">
        <v>202</v>
      </c>
      <c r="B10" s="12">
        <f>'car.sollecitazione  direzione x'!E13</f>
        <v>245.04358531621304</v>
      </c>
      <c r="C10" s="2" t="s">
        <v>405</v>
      </c>
      <c r="D10" s="2" t="s">
        <v>406</v>
      </c>
    </row>
    <row r="11" spans="1:4" x14ac:dyDescent="0.25">
      <c r="D11" s="96"/>
    </row>
    <row r="12" spans="1:4" x14ac:dyDescent="0.25">
      <c r="A12" s="91"/>
      <c r="B12" s="91" t="s">
        <v>204</v>
      </c>
      <c r="C12" s="91"/>
      <c r="D12" s="95"/>
    </row>
    <row r="13" spans="1:4" x14ac:dyDescent="0.25">
      <c r="A13" s="91" t="s">
        <v>0</v>
      </c>
      <c r="B13" s="91" t="s">
        <v>200</v>
      </c>
      <c r="C13" s="91" t="s">
        <v>201</v>
      </c>
      <c r="D13" s="91" t="s">
        <v>403</v>
      </c>
    </row>
    <row r="14" spans="1:4" x14ac:dyDescent="0.25">
      <c r="A14" s="92">
        <v>6</v>
      </c>
      <c r="B14" s="12">
        <f>'car.sollecitazione direzione y'!E7</f>
        <v>52.604595104251558</v>
      </c>
      <c r="C14" s="2">
        <v>62.54</v>
      </c>
      <c r="D14" s="2">
        <v>59.59</v>
      </c>
    </row>
    <row r="15" spans="1:4" x14ac:dyDescent="0.25">
      <c r="A15" s="92">
        <v>5</v>
      </c>
      <c r="B15" s="12">
        <f>'car.sollecitazione direzione y'!E8</f>
        <v>115.06322514933663</v>
      </c>
      <c r="C15" s="2">
        <v>132.43</v>
      </c>
      <c r="D15" s="2">
        <v>125.65</v>
      </c>
    </row>
    <row r="16" spans="1:4" x14ac:dyDescent="0.25">
      <c r="A16" s="92">
        <v>4</v>
      </c>
      <c r="B16" s="12">
        <f>'car.sollecitazione direzione y'!E9</f>
        <v>163.54164894381393</v>
      </c>
      <c r="C16" s="2">
        <v>174.83</v>
      </c>
      <c r="D16" s="2">
        <v>172.81</v>
      </c>
    </row>
    <row r="17" spans="1:14" x14ac:dyDescent="0.25">
      <c r="A17" s="92">
        <v>3</v>
      </c>
      <c r="B17" s="12">
        <f>'car.sollecitazione direzione y'!E10</f>
        <v>200.08135643069608</v>
      </c>
      <c r="C17" s="2">
        <v>206.91</v>
      </c>
      <c r="D17" s="2">
        <v>210.08</v>
      </c>
    </row>
    <row r="18" spans="1:14" x14ac:dyDescent="0.25">
      <c r="A18" s="92">
        <v>2</v>
      </c>
      <c r="B18" s="12">
        <f>'car.sollecitazione direzione y'!E11</f>
        <v>224.68234760998305</v>
      </c>
      <c r="C18" s="2">
        <v>229.81</v>
      </c>
      <c r="D18" s="2">
        <v>237.36</v>
      </c>
    </row>
    <row r="19" spans="1:14" x14ac:dyDescent="0.25">
      <c r="A19" s="92">
        <v>1</v>
      </c>
      <c r="B19" s="12">
        <f>'car.sollecitazione direzione y'!E12</f>
        <v>199.38763304207811</v>
      </c>
      <c r="C19" s="2">
        <v>214.26</v>
      </c>
      <c r="D19" s="2">
        <v>220.96</v>
      </c>
    </row>
    <row r="20" spans="1:14" x14ac:dyDescent="0.25">
      <c r="A20" s="92" t="s">
        <v>16</v>
      </c>
      <c r="B20" s="12">
        <f>'car.sollecitazione direzione y'!E13</f>
        <v>299.08144956311708</v>
      </c>
      <c r="C20" s="2" t="s">
        <v>407</v>
      </c>
      <c r="D20" s="2" t="s">
        <v>404</v>
      </c>
    </row>
    <row r="22" spans="1:14" x14ac:dyDescent="0.25">
      <c r="A22" s="91"/>
      <c r="B22" s="91" t="s">
        <v>247</v>
      </c>
      <c r="C22" s="91"/>
      <c r="D22" s="91"/>
    </row>
    <row r="23" spans="1:14" x14ac:dyDescent="0.25">
      <c r="A23" s="91" t="s">
        <v>0</v>
      </c>
      <c r="B23" s="93" t="s">
        <v>205</v>
      </c>
      <c r="C23" s="91" t="s">
        <v>206</v>
      </c>
      <c r="D23" s="91" t="s">
        <v>207</v>
      </c>
      <c r="E23" s="91" t="s">
        <v>439</v>
      </c>
      <c r="F23" s="91" t="s">
        <v>440</v>
      </c>
      <c r="G23" s="7"/>
    </row>
    <row r="24" spans="1:14" x14ac:dyDescent="0.25">
      <c r="A24" s="92">
        <v>6</v>
      </c>
      <c r="B24" s="82">
        <f>'car.sollecitazione  direzione x'!F7</f>
        <v>25.493218197836473</v>
      </c>
      <c r="C24" s="77">
        <v>38.42</v>
      </c>
      <c r="D24" s="77" t="s">
        <v>408</v>
      </c>
      <c r="E24" s="2">
        <v>40.1</v>
      </c>
      <c r="F24" s="2">
        <v>40.6</v>
      </c>
      <c r="G24" s="7"/>
      <c r="I24" s="15"/>
      <c r="J24" s="97"/>
      <c r="K24" s="97" t="s">
        <v>248</v>
      </c>
      <c r="L24" s="15"/>
      <c r="M24" s="15"/>
      <c r="N24" s="15"/>
    </row>
    <row r="25" spans="1:14" x14ac:dyDescent="0.25">
      <c r="A25" s="92">
        <v>5</v>
      </c>
      <c r="B25" s="82">
        <f>'car.sollecitazione  direzione x'!F8</f>
        <v>83.006501391532552</v>
      </c>
      <c r="C25" s="77">
        <v>106.65</v>
      </c>
      <c r="D25" s="77" t="s">
        <v>409</v>
      </c>
      <c r="E25" s="2">
        <v>106.9</v>
      </c>
      <c r="F25" s="2">
        <v>102.2</v>
      </c>
      <c r="G25" s="7"/>
    </row>
    <row r="26" spans="1:14" x14ac:dyDescent="0.25">
      <c r="A26" s="92">
        <v>4</v>
      </c>
      <c r="B26" s="82">
        <f>'car.sollecitazione  direzione x'!F9</f>
        <v>139.25805575210569</v>
      </c>
      <c r="C26" s="77">
        <v>169.24</v>
      </c>
      <c r="D26" s="77" t="s">
        <v>410</v>
      </c>
      <c r="E26" s="2">
        <v>162.91</v>
      </c>
      <c r="F26" s="2">
        <v>154.80000000000001</v>
      </c>
      <c r="G26" s="7"/>
    </row>
    <row r="27" spans="1:14" x14ac:dyDescent="0.25">
      <c r="A27" s="92">
        <v>3</v>
      </c>
      <c r="B27" s="82">
        <f>'car.sollecitazione  direzione x'!F10</f>
        <v>181.75357814544654</v>
      </c>
      <c r="C27" s="77">
        <v>223.5</v>
      </c>
      <c r="D27" s="77" t="s">
        <v>411</v>
      </c>
      <c r="E27" s="2">
        <v>212.5</v>
      </c>
      <c r="F27" s="2">
        <v>197.42</v>
      </c>
      <c r="G27" s="7"/>
    </row>
    <row r="28" spans="1:14" x14ac:dyDescent="0.25">
      <c r="A28" s="92">
        <v>2</v>
      </c>
      <c r="B28" s="82">
        <f>'car.sollecitazione  direzione x'!F11</f>
        <v>212.31418786661507</v>
      </c>
      <c r="C28" s="77">
        <v>259.79000000000002</v>
      </c>
      <c r="D28" s="77" t="s">
        <v>412</v>
      </c>
      <c r="E28" s="2">
        <v>248.9</v>
      </c>
      <c r="F28" s="2">
        <v>231.9</v>
      </c>
      <c r="G28" s="7"/>
    </row>
    <row r="29" spans="1:14" x14ac:dyDescent="0.25">
      <c r="A29" s="92">
        <v>1</v>
      </c>
      <c r="B29" s="82">
        <f>'car.sollecitazione  direzione x'!F12</f>
        <v>193.98657738498247</v>
      </c>
      <c r="C29" s="77">
        <v>252.35</v>
      </c>
      <c r="D29" s="77" t="s">
        <v>413</v>
      </c>
      <c r="E29" s="2">
        <v>245.78</v>
      </c>
      <c r="F29" s="2">
        <v>222.6</v>
      </c>
      <c r="G29" s="7"/>
    </row>
    <row r="30" spans="1:14" x14ac:dyDescent="0.25">
      <c r="B30" s="88"/>
      <c r="E30" s="96"/>
      <c r="F30" s="96"/>
    </row>
    <row r="31" spans="1:14" x14ac:dyDescent="0.25">
      <c r="E31" s="96"/>
      <c r="F31" s="96"/>
    </row>
    <row r="32" spans="1:14" x14ac:dyDescent="0.25">
      <c r="A32" s="91"/>
      <c r="B32" s="91" t="s">
        <v>208</v>
      </c>
      <c r="C32" s="91"/>
      <c r="D32" s="91"/>
      <c r="E32" s="91"/>
      <c r="F32" s="91"/>
    </row>
    <row r="33" spans="1:14" x14ac:dyDescent="0.25">
      <c r="A33" s="91" t="s">
        <v>0</v>
      </c>
      <c r="B33" s="93" t="s">
        <v>205</v>
      </c>
      <c r="C33" s="91" t="s">
        <v>206</v>
      </c>
      <c r="D33" s="91" t="s">
        <v>207</v>
      </c>
      <c r="E33" s="91" t="s">
        <v>439</v>
      </c>
      <c r="F33" s="91" t="s">
        <v>440</v>
      </c>
    </row>
    <row r="34" spans="1:14" x14ac:dyDescent="0.25">
      <c r="A34" s="92">
        <v>6</v>
      </c>
      <c r="B34" s="12">
        <f>'car.sollecitazione direzione y'!F7</f>
        <v>26.302297552125779</v>
      </c>
      <c r="C34" s="2">
        <v>34.04</v>
      </c>
      <c r="D34" s="2" t="s">
        <v>414</v>
      </c>
      <c r="E34" s="2">
        <v>33.1</v>
      </c>
      <c r="F34" s="2">
        <v>31.6</v>
      </c>
    </row>
    <row r="35" spans="1:14" x14ac:dyDescent="0.25">
      <c r="A35" s="92">
        <v>5</v>
      </c>
      <c r="B35" s="12">
        <f>'car.sollecitazione direzione y'!F8</f>
        <v>83.833910126794095</v>
      </c>
      <c r="C35" s="2">
        <v>93.25</v>
      </c>
      <c r="D35" s="2" t="s">
        <v>415</v>
      </c>
      <c r="E35" s="2">
        <v>88.87</v>
      </c>
      <c r="F35" s="2">
        <v>88.9</v>
      </c>
    </row>
    <row r="36" spans="1:14" x14ac:dyDescent="0.25">
      <c r="A36" s="92">
        <v>4</v>
      </c>
      <c r="B36" s="12">
        <f>'car.sollecitazione direzione y'!F9</f>
        <v>139.30243704657528</v>
      </c>
      <c r="C36" s="2">
        <v>149.07</v>
      </c>
      <c r="D36" s="2" t="s">
        <v>416</v>
      </c>
      <c r="E36" s="2">
        <v>146</v>
      </c>
      <c r="F36" s="2">
        <v>147.68</v>
      </c>
    </row>
    <row r="37" spans="1:14" x14ac:dyDescent="0.25">
      <c r="A37" s="92">
        <v>3</v>
      </c>
      <c r="B37" s="12">
        <f>'car.sollecitazione direzione y'!F10</f>
        <v>181.811502687255</v>
      </c>
      <c r="C37" s="2">
        <v>194.04</v>
      </c>
      <c r="D37" s="2" t="s">
        <v>417</v>
      </c>
      <c r="E37" s="2">
        <v>194.8</v>
      </c>
      <c r="F37" s="2">
        <v>198.7</v>
      </c>
    </row>
    <row r="38" spans="1:14" x14ac:dyDescent="0.25">
      <c r="A38" s="92">
        <v>2</v>
      </c>
      <c r="B38" s="12">
        <f>'car.sollecitazione direzione y'!F11</f>
        <v>212.38185202033958</v>
      </c>
      <c r="C38" s="2">
        <v>230.03</v>
      </c>
      <c r="D38" s="2" t="s">
        <v>418</v>
      </c>
      <c r="E38" s="2">
        <v>233.7</v>
      </c>
      <c r="F38" s="2">
        <v>238.35</v>
      </c>
    </row>
    <row r="39" spans="1:14" x14ac:dyDescent="0.25">
      <c r="A39" s="92">
        <v>1</v>
      </c>
      <c r="B39" s="12">
        <f>'car.sollecitazione direzione y'!F12</f>
        <v>212.0349903260306</v>
      </c>
      <c r="C39" s="2">
        <v>244.69</v>
      </c>
      <c r="D39" s="2" t="s">
        <v>419</v>
      </c>
      <c r="E39" s="2">
        <v>251.4</v>
      </c>
      <c r="F39" s="2">
        <v>258.8</v>
      </c>
    </row>
    <row r="42" spans="1:14" x14ac:dyDescent="0.25">
      <c r="A42" s="91" t="s">
        <v>227</v>
      </c>
      <c r="B42" s="91"/>
      <c r="C42" s="91"/>
      <c r="D42" s="92" t="s">
        <v>228</v>
      </c>
      <c r="E42" s="91"/>
      <c r="F42" s="92" t="s">
        <v>230</v>
      </c>
      <c r="G42" s="91"/>
      <c r="H42" s="91"/>
      <c r="I42" s="91"/>
      <c r="J42" s="91" t="s">
        <v>231</v>
      </c>
      <c r="K42" s="91"/>
      <c r="L42" s="91" t="s">
        <v>229</v>
      </c>
      <c r="M42" s="91"/>
      <c r="N42" s="7"/>
    </row>
    <row r="43" spans="1:14" x14ac:dyDescent="0.25">
      <c r="A43" s="91" t="s">
        <v>0</v>
      </c>
      <c r="B43" s="91" t="s">
        <v>249</v>
      </c>
      <c r="C43" s="91" t="s">
        <v>250</v>
      </c>
      <c r="D43" s="91" t="s">
        <v>226</v>
      </c>
      <c r="E43" s="91" t="str">
        <f>B43</f>
        <v>ux</v>
      </c>
      <c r="F43" s="91" t="str">
        <f>C43</f>
        <v>uy</v>
      </c>
      <c r="G43" s="91" t="str">
        <f>D43</f>
        <v>rot</v>
      </c>
      <c r="H43" s="91" t="s">
        <v>232</v>
      </c>
      <c r="I43" s="91" t="s">
        <v>233</v>
      </c>
      <c r="J43" s="91" t="s">
        <v>251</v>
      </c>
      <c r="K43" s="91" t="s">
        <v>252</v>
      </c>
      <c r="L43" s="91" t="s">
        <v>251</v>
      </c>
      <c r="M43" s="91" t="s">
        <v>252</v>
      </c>
      <c r="N43" s="7"/>
    </row>
    <row r="44" spans="1:14" x14ac:dyDescent="0.25">
      <c r="A44" s="94">
        <v>6</v>
      </c>
      <c r="B44" s="12">
        <v>19.306000000000001</v>
      </c>
      <c r="C44" s="12">
        <v>-3.6999999999999998E-2</v>
      </c>
      <c r="D44" s="12">
        <v>3.0000000000000001E-3</v>
      </c>
      <c r="E44" s="2">
        <v>0.59399999999999997</v>
      </c>
      <c r="F44" s="2">
        <v>15.372</v>
      </c>
      <c r="G44" s="2">
        <v>4.9000000000000002E-2</v>
      </c>
      <c r="H44" s="12">
        <f>'Centro di rigidezza'!E4</f>
        <v>14.701086391130852</v>
      </c>
      <c r="I44" s="12">
        <f>'Centro di rigidezza'!F4</f>
        <v>12.093137815325406</v>
      </c>
      <c r="J44" s="90">
        <f>B44+D44*I44</f>
        <v>19.342279413445976</v>
      </c>
      <c r="K44" s="3">
        <f>C44+D44*H44</f>
        <v>7.1032591733925579E-3</v>
      </c>
      <c r="L44" s="12">
        <f>E44+G44*I44</f>
        <v>1.1865637529509447</v>
      </c>
      <c r="M44" s="90">
        <f>F44+G44*H44</f>
        <v>16.092353233165412</v>
      </c>
      <c r="N44" s="7"/>
    </row>
    <row r="45" spans="1:14" x14ac:dyDescent="0.25">
      <c r="A45" s="94">
        <v>5</v>
      </c>
      <c r="B45" s="12">
        <v>17.62</v>
      </c>
      <c r="C45" s="12">
        <v>-6.5000000000000002E-2</v>
      </c>
      <c r="D45" s="12">
        <v>4.0000000000000001E-3</v>
      </c>
      <c r="E45" s="2">
        <v>0.56299999999999994</v>
      </c>
      <c r="F45" s="2">
        <v>14.044</v>
      </c>
      <c r="G45" s="2">
        <v>4.7E-2</v>
      </c>
      <c r="H45" s="12">
        <f>'Centro di rigidezza'!E5</f>
        <v>14.820891497459959</v>
      </c>
      <c r="I45" s="12">
        <f>'Centro di rigidezza'!F5</f>
        <v>12.049754798962388</v>
      </c>
      <c r="J45" s="90">
        <f>B45+D45*I45</f>
        <v>17.66819901919585</v>
      </c>
      <c r="K45" s="3">
        <f>C45+D45*H45</f>
        <v>-5.7164340101601638E-3</v>
      </c>
      <c r="L45" s="12">
        <f>E45+G45*I45</f>
        <v>1.1293384755512321</v>
      </c>
      <c r="M45" s="90">
        <f>F45+G45*H45</f>
        <v>14.740581900380619</v>
      </c>
      <c r="N45" s="7"/>
    </row>
    <row r="46" spans="1:14" x14ac:dyDescent="0.25">
      <c r="A46" s="94">
        <v>4</v>
      </c>
      <c r="B46" s="12">
        <v>15.116</v>
      </c>
      <c r="C46" s="12">
        <v>-8.4000000000000005E-2</v>
      </c>
      <c r="D46" s="12">
        <v>6.0000000000000001E-3</v>
      </c>
      <c r="E46" s="2">
        <v>0.50600000000000001</v>
      </c>
      <c r="F46" s="2">
        <v>12.09</v>
      </c>
      <c r="G46" s="2">
        <v>4.2000000000000003E-2</v>
      </c>
      <c r="H46" s="12">
        <f>'Centro di rigidezza'!E6</f>
        <v>14.820891497459959</v>
      </c>
      <c r="I46" s="12">
        <f>'Centro di rigidezza'!F6</f>
        <v>12.049754798962388</v>
      </c>
      <c r="J46" s="90">
        <f t="shared" ref="J46:J49" si="0">B46+D46*I46</f>
        <v>15.188298528793775</v>
      </c>
      <c r="K46" s="3">
        <f t="shared" ref="K46:K49" si="1">C46+D46*H46</f>
        <v>4.9253489847597559E-3</v>
      </c>
      <c r="L46" s="12">
        <f t="shared" ref="L46:L49" si="2">E46+G46*I46</f>
        <v>1.0120897015564203</v>
      </c>
      <c r="M46" s="90">
        <f t="shared" ref="M46:M49" si="3">F46+G46*H46</f>
        <v>12.712477442893318</v>
      </c>
      <c r="N46" s="7"/>
    </row>
    <row r="47" spans="1:14" x14ac:dyDescent="0.25">
      <c r="A47" s="94">
        <v>3</v>
      </c>
      <c r="B47" s="12">
        <v>11.68</v>
      </c>
      <c r="C47" s="12">
        <v>-9.2999999999999999E-2</v>
      </c>
      <c r="D47" s="12">
        <v>6.0000000000000001E-3</v>
      </c>
      <c r="E47" s="2">
        <v>0.41399999999999998</v>
      </c>
      <c r="F47" s="2">
        <v>9.44</v>
      </c>
      <c r="G47" s="2">
        <v>3.4000000000000002E-2</v>
      </c>
      <c r="H47" s="12">
        <f>'Centro di rigidezza'!E7</f>
        <v>14.820891497459959</v>
      </c>
      <c r="I47" s="12">
        <f>'Centro di rigidezza'!F7</f>
        <v>12.049754798962388</v>
      </c>
      <c r="J47" s="90">
        <f t="shared" si="0"/>
        <v>11.752298528793775</v>
      </c>
      <c r="K47" s="3">
        <f t="shared" si="1"/>
        <v>-4.0746510152402382E-3</v>
      </c>
      <c r="L47" s="12">
        <f t="shared" si="2"/>
        <v>0.8236916631647212</v>
      </c>
      <c r="M47" s="90">
        <f t="shared" si="3"/>
        <v>9.9439103109136386</v>
      </c>
      <c r="N47" s="7"/>
    </row>
    <row r="48" spans="1:14" x14ac:dyDescent="0.25">
      <c r="A48" s="94">
        <v>2</v>
      </c>
      <c r="B48" s="12">
        <v>7.56</v>
      </c>
      <c r="C48" s="12">
        <v>-8.7999999999999995E-2</v>
      </c>
      <c r="D48" s="12">
        <v>6.0000000000000001E-3</v>
      </c>
      <c r="E48" s="2">
        <v>0.29499999999999998</v>
      </c>
      <c r="F48" s="2">
        <v>6.28</v>
      </c>
      <c r="G48" s="2">
        <v>2.4E-2</v>
      </c>
      <c r="H48" s="12">
        <f>'Centro di rigidezza'!E8</f>
        <v>14.820891497459959</v>
      </c>
      <c r="I48" s="12">
        <f>'Centro di rigidezza'!F8</f>
        <v>12.049754798962388</v>
      </c>
      <c r="J48" s="90">
        <f t="shared" si="0"/>
        <v>7.6322985287937737</v>
      </c>
      <c r="K48" s="3">
        <f t="shared" si="1"/>
        <v>9.2534898475976624E-4</v>
      </c>
      <c r="L48" s="12">
        <f t="shared" si="2"/>
        <v>0.58419411517509734</v>
      </c>
      <c r="M48" s="90">
        <f t="shared" si="3"/>
        <v>6.635701395939039</v>
      </c>
      <c r="N48" s="7"/>
    </row>
    <row r="49" spans="1:14" x14ac:dyDescent="0.25">
      <c r="A49" s="94">
        <v>1</v>
      </c>
      <c r="B49" s="12">
        <v>3.18</v>
      </c>
      <c r="C49" s="12">
        <v>-6.6000000000000003E-2</v>
      </c>
      <c r="D49" s="12">
        <v>5.0000000000000001E-3</v>
      </c>
      <c r="E49" s="2">
        <v>0.154</v>
      </c>
      <c r="F49" s="2">
        <v>2.8460000000000001</v>
      </c>
      <c r="G49" s="2">
        <v>1.2999999999999999E-2</v>
      </c>
      <c r="H49" s="12">
        <f>'Centro di rigidezza'!E9</f>
        <v>14.52084337157787</v>
      </c>
      <c r="I49" s="12">
        <f>'Centro di rigidezza'!F9</f>
        <v>12.309637518298331</v>
      </c>
      <c r="J49" s="90">
        <f t="shared" si="0"/>
        <v>3.241548187591492</v>
      </c>
      <c r="K49" s="3">
        <f t="shared" si="1"/>
        <v>6.6042168578893529E-3</v>
      </c>
      <c r="L49" s="12">
        <f t="shared" si="2"/>
        <v>0.3140252877378783</v>
      </c>
      <c r="M49" s="90">
        <f t="shared" si="3"/>
        <v>3.0347709638305123</v>
      </c>
      <c r="N49" s="7"/>
    </row>
    <row r="52" spans="1:14" x14ac:dyDescent="0.25">
      <c r="A52" s="15" t="s">
        <v>234</v>
      </c>
      <c r="B52" s="15"/>
    </row>
    <row r="53" spans="1:14" x14ac:dyDescent="0.25">
      <c r="A53" s="91" t="s">
        <v>0</v>
      </c>
      <c r="B53" s="91" t="s">
        <v>238</v>
      </c>
      <c r="C53" s="91" t="s">
        <v>239</v>
      </c>
      <c r="D53" s="91" t="s">
        <v>240</v>
      </c>
      <c r="E53" s="91" t="s">
        <v>241</v>
      </c>
    </row>
    <row r="54" spans="1:14" x14ac:dyDescent="0.25">
      <c r="A54" s="2">
        <v>6</v>
      </c>
      <c r="B54" s="12">
        <f>rigidezze!F57</f>
        <v>22.93849466516048</v>
      </c>
      <c r="C54" s="12">
        <f>J44</f>
        <v>19.342279413445976</v>
      </c>
      <c r="D54" s="12">
        <f>rigidezze!F69</f>
        <v>15.289101500937587</v>
      </c>
      <c r="E54" s="12">
        <f>M44</f>
        <v>16.092353233165412</v>
      </c>
    </row>
    <row r="55" spans="1:14" x14ac:dyDescent="0.25">
      <c r="A55" s="2">
        <v>5</v>
      </c>
      <c r="B55" s="12">
        <f>rigidezze!F58</f>
        <v>21.471971246082035</v>
      </c>
      <c r="C55" s="12">
        <f t="shared" ref="C55:C58" si="4">J45</f>
        <v>17.66819901919585</v>
      </c>
      <c r="D55" s="12">
        <f>rigidezze!F70</f>
        <v>14.283483172455162</v>
      </c>
      <c r="E55" s="12">
        <f t="shared" ref="E55:E59" si="5">M45</f>
        <v>14.740581900380619</v>
      </c>
    </row>
    <row r="56" spans="1:14" x14ac:dyDescent="0.25">
      <c r="A56" s="2">
        <v>4</v>
      </c>
      <c r="B56" s="12">
        <f>rigidezze!F59</f>
        <v>18.546947307432522</v>
      </c>
      <c r="C56" s="12">
        <f t="shared" si="4"/>
        <v>15.188298528793775</v>
      </c>
      <c r="D56" s="12">
        <f>rigidezze!F71</f>
        <v>12.461642538790878</v>
      </c>
      <c r="E56" s="12">
        <f t="shared" si="5"/>
        <v>12.712477442893318</v>
      </c>
    </row>
    <row r="57" spans="1:14" x14ac:dyDescent="0.25">
      <c r="A57" s="2">
        <v>3</v>
      </c>
      <c r="B57" s="12">
        <f>rigidezze!F60</f>
        <v>14.389552644576344</v>
      </c>
      <c r="C57" s="12">
        <f t="shared" si="4"/>
        <v>11.752298528793775</v>
      </c>
      <c r="D57" s="12">
        <f>rigidezze!F72</f>
        <v>9.8722242345880815</v>
      </c>
      <c r="E57" s="12">
        <f t="shared" si="5"/>
        <v>9.9439103109136386</v>
      </c>
    </row>
    <row r="58" spans="1:14" x14ac:dyDescent="0.25">
      <c r="A58" s="2">
        <v>2</v>
      </c>
      <c r="B58" s="12">
        <f>rigidezze!F61</f>
        <v>9.3032815403405191</v>
      </c>
      <c r="C58" s="12">
        <f t="shared" si="4"/>
        <v>7.6322985287937737</v>
      </c>
      <c r="D58" s="12">
        <f>rigidezze!F73</f>
        <v>6.7042585816958074</v>
      </c>
      <c r="E58" s="12">
        <f t="shared" si="5"/>
        <v>6.635701395939039</v>
      </c>
    </row>
    <row r="59" spans="1:14" x14ac:dyDescent="0.25">
      <c r="A59" s="2">
        <v>1</v>
      </c>
      <c r="B59" s="12">
        <f>rigidezze!F62</f>
        <v>3.5916282775520578</v>
      </c>
      <c r="C59" s="12">
        <f>J49</f>
        <v>3.241548187591492</v>
      </c>
      <c r="D59" s="12">
        <f>rigidezze!F74</f>
        <v>3.1467759019630948</v>
      </c>
      <c r="E59" s="12">
        <f t="shared" si="5"/>
        <v>3.0347709638305123</v>
      </c>
    </row>
    <row r="62" spans="1:14" x14ac:dyDescent="0.25">
      <c r="A62" s="91" t="s">
        <v>255</v>
      </c>
      <c r="B62" s="91"/>
      <c r="C62" s="91"/>
      <c r="D62" s="91"/>
    </row>
    <row r="63" spans="1:14" x14ac:dyDescent="0.25">
      <c r="A63" s="91" t="s">
        <v>0</v>
      </c>
      <c r="B63" s="91" t="s">
        <v>253</v>
      </c>
      <c r="C63" s="91" t="s">
        <v>254</v>
      </c>
      <c r="D63" s="92" t="s">
        <v>259</v>
      </c>
    </row>
    <row r="64" spans="1:14" x14ac:dyDescent="0.25">
      <c r="A64" s="2">
        <v>6</v>
      </c>
      <c r="B64" s="12">
        <v>19.3</v>
      </c>
      <c r="C64" s="12">
        <v>19.239999999999998</v>
      </c>
      <c r="D64" s="12">
        <f t="shared" ref="D64:D69" si="6">C64-B64</f>
        <v>-6.0000000000002274E-2</v>
      </c>
    </row>
    <row r="65" spans="1:4" x14ac:dyDescent="0.25">
      <c r="A65" s="2">
        <v>5</v>
      </c>
      <c r="B65" s="12">
        <v>17.61</v>
      </c>
      <c r="C65" s="12">
        <v>17.510000000000002</v>
      </c>
      <c r="D65" s="12">
        <f t="shared" si="6"/>
        <v>-9.9999999999997868E-2</v>
      </c>
    </row>
    <row r="66" spans="1:4" x14ac:dyDescent="0.25">
      <c r="A66" s="2">
        <v>4</v>
      </c>
      <c r="B66" s="12">
        <v>15.1</v>
      </c>
      <c r="C66" s="12">
        <v>14.97</v>
      </c>
      <c r="D66" s="12">
        <f t="shared" si="6"/>
        <v>-0.12999999999999901</v>
      </c>
    </row>
    <row r="67" spans="1:4" x14ac:dyDescent="0.25">
      <c r="A67" s="2">
        <v>3</v>
      </c>
      <c r="B67" s="2">
        <v>11.66</v>
      </c>
      <c r="C67" s="12">
        <v>11.52</v>
      </c>
      <c r="D67" s="12">
        <f t="shared" si="6"/>
        <v>-0.14000000000000057</v>
      </c>
    </row>
    <row r="68" spans="1:4" x14ac:dyDescent="0.25">
      <c r="A68" s="2">
        <v>2</v>
      </c>
      <c r="B68" s="2">
        <v>7.54</v>
      </c>
      <c r="C68" s="12">
        <v>7.4</v>
      </c>
      <c r="D68" s="12">
        <f t="shared" si="6"/>
        <v>-0.13999999999999968</v>
      </c>
    </row>
    <row r="69" spans="1:4" x14ac:dyDescent="0.25">
      <c r="A69" s="2">
        <v>1</v>
      </c>
      <c r="B69" s="2">
        <v>3.17</v>
      </c>
      <c r="C69" s="12">
        <v>3.07</v>
      </c>
      <c r="D69" s="12">
        <f t="shared" si="6"/>
        <v>-0.10000000000000009</v>
      </c>
    </row>
    <row r="70" spans="1:4" x14ac:dyDescent="0.25">
      <c r="A70" s="1"/>
      <c r="B70" s="1"/>
    </row>
    <row r="71" spans="1:4" x14ac:dyDescent="0.25">
      <c r="A71" s="1"/>
      <c r="B71" s="1"/>
    </row>
    <row r="72" spans="1:4" x14ac:dyDescent="0.25">
      <c r="A72" s="91" t="s">
        <v>256</v>
      </c>
      <c r="B72" s="91"/>
      <c r="C72" s="91"/>
      <c r="D72" s="91"/>
    </row>
    <row r="73" spans="1:4" x14ac:dyDescent="0.25">
      <c r="A73" s="91" t="s">
        <v>0</v>
      </c>
      <c r="B73" s="91" t="s">
        <v>257</v>
      </c>
      <c r="C73" s="91" t="s">
        <v>258</v>
      </c>
      <c r="D73" s="92" t="s">
        <v>436</v>
      </c>
    </row>
    <row r="74" spans="1:4" x14ac:dyDescent="0.25">
      <c r="A74" s="77">
        <v>6</v>
      </c>
      <c r="B74" s="77">
        <v>15.4</v>
      </c>
      <c r="C74" s="77">
        <v>16.600000000000001</v>
      </c>
      <c r="D74" s="149">
        <f>C74-B74</f>
        <v>1.2000000000000011</v>
      </c>
    </row>
    <row r="75" spans="1:4" x14ac:dyDescent="0.25">
      <c r="A75" s="77">
        <v>5</v>
      </c>
      <c r="B75" s="77">
        <v>14.05</v>
      </c>
      <c r="C75" s="77">
        <v>15.2</v>
      </c>
      <c r="D75" s="149">
        <f t="shared" ref="D75:D78" si="7">C75-B75</f>
        <v>1.1499999999999986</v>
      </c>
    </row>
    <row r="76" spans="1:4" x14ac:dyDescent="0.25">
      <c r="A76" s="77">
        <v>4</v>
      </c>
      <c r="B76" s="77">
        <v>12.1</v>
      </c>
      <c r="C76" s="77">
        <v>13.1</v>
      </c>
      <c r="D76" s="77">
        <f t="shared" si="7"/>
        <v>1</v>
      </c>
    </row>
    <row r="77" spans="1:4" x14ac:dyDescent="0.25">
      <c r="A77" s="77">
        <v>3</v>
      </c>
      <c r="B77" s="77">
        <v>9.4499999999999993</v>
      </c>
      <c r="C77" s="77">
        <v>10.327999999999999</v>
      </c>
      <c r="D77" s="82">
        <f t="shared" si="7"/>
        <v>0.87800000000000011</v>
      </c>
    </row>
    <row r="78" spans="1:4" x14ac:dyDescent="0.25">
      <c r="A78" s="77">
        <v>2</v>
      </c>
      <c r="B78" s="77">
        <v>6.28</v>
      </c>
      <c r="C78" s="77">
        <v>6.91</v>
      </c>
      <c r="D78" s="77">
        <f t="shared" si="7"/>
        <v>0.62999999999999989</v>
      </c>
    </row>
    <row r="79" spans="1:4" x14ac:dyDescent="0.25">
      <c r="A79" s="77">
        <v>1</v>
      </c>
      <c r="B79" s="77">
        <v>2.85</v>
      </c>
      <c r="C79" s="77">
        <v>3.17</v>
      </c>
      <c r="D79" s="77">
        <f>C79-B79</f>
        <v>0.31999999999999984</v>
      </c>
    </row>
    <row r="83" spans="1:9" x14ac:dyDescent="0.25">
      <c r="A83" s="107" t="s">
        <v>340</v>
      </c>
      <c r="B83" s="107"/>
      <c r="C83" s="105"/>
      <c r="D83" s="105"/>
      <c r="E83" s="105"/>
      <c r="F83" s="105"/>
    </row>
    <row r="84" spans="1:9" x14ac:dyDescent="0.25">
      <c r="A84" s="105" t="s">
        <v>0</v>
      </c>
      <c r="B84" s="105" t="s">
        <v>341</v>
      </c>
      <c r="C84" s="105" t="s">
        <v>342</v>
      </c>
      <c r="D84" s="105" t="s">
        <v>147</v>
      </c>
      <c r="E84" s="105" t="s">
        <v>343</v>
      </c>
      <c r="F84" s="105" t="s">
        <v>344</v>
      </c>
    </row>
    <row r="85" spans="1:9" x14ac:dyDescent="0.25">
      <c r="A85" s="106">
        <v>6</v>
      </c>
      <c r="B85" s="112">
        <f>'masse e forze direzione x'!E2</f>
        <v>459.45462283384308</v>
      </c>
      <c r="C85" s="113">
        <f>'masse e forze direzione x'!E20</f>
        <v>430.96671340621896</v>
      </c>
      <c r="D85" s="113">
        <f>C54</f>
        <v>19.342279413445976</v>
      </c>
      <c r="E85" s="113">
        <f>C85*D85</f>
        <v>8335.8785885975813</v>
      </c>
      <c r="F85" s="113">
        <f>B85*(D85^2)/1000</f>
        <v>171.89289697453495</v>
      </c>
    </row>
    <row r="86" spans="1:9" x14ac:dyDescent="0.25">
      <c r="A86" s="106">
        <v>5</v>
      </c>
      <c r="B86" s="112">
        <f>'masse e forze direzione x'!E3</f>
        <v>608.35524974515795</v>
      </c>
      <c r="C86" s="113">
        <f>'masse e forze direzione x'!E21</f>
        <v>476.48017750352648</v>
      </c>
      <c r="D86" s="113">
        <f t="shared" ref="D86:D90" si="8">C55</f>
        <v>17.66819901919585</v>
      </c>
      <c r="E86" s="113">
        <f t="shared" ref="E86:E90" si="9">C86*D86</f>
        <v>8418.5466048340713</v>
      </c>
      <c r="F86" s="113">
        <f t="shared" ref="F86:F90" si="10">B86*(D86^2)/1000</f>
        <v>189.90737262965109</v>
      </c>
    </row>
    <row r="87" spans="1:9" x14ac:dyDescent="0.25">
      <c r="A87" s="106">
        <v>4</v>
      </c>
      <c r="B87" s="112">
        <f>'masse e forze direzione x'!E4</f>
        <v>608.35524974515795</v>
      </c>
      <c r="C87" s="113">
        <f>'masse e forze direzione x'!E22</f>
        <v>382.32541188905719</v>
      </c>
      <c r="D87" s="113">
        <f t="shared" si="8"/>
        <v>15.188298528793775</v>
      </c>
      <c r="E87" s="113">
        <f t="shared" si="9"/>
        <v>5806.8724909150415</v>
      </c>
      <c r="F87" s="113">
        <f t="shared" si="10"/>
        <v>140.33807319609943</v>
      </c>
    </row>
    <row r="88" spans="1:9" x14ac:dyDescent="0.25">
      <c r="A88" s="106">
        <v>3</v>
      </c>
      <c r="B88" s="112">
        <f>'masse e forze direzione x'!E5</f>
        <v>608.35524974515795</v>
      </c>
      <c r="C88" s="113">
        <f>'masse e forze direzione x'!E23</f>
        <v>288.17064627458785</v>
      </c>
      <c r="D88" s="113">
        <f t="shared" si="8"/>
        <v>11.752298528793775</v>
      </c>
      <c r="E88" s="113">
        <f t="shared" si="9"/>
        <v>3386.6674622543901</v>
      </c>
      <c r="F88" s="113">
        <f t="shared" si="10"/>
        <v>84.0239104503964</v>
      </c>
    </row>
    <row r="89" spans="1:9" x14ac:dyDescent="0.25">
      <c r="A89" s="106">
        <v>2</v>
      </c>
      <c r="B89" s="112">
        <f>'masse e forze direzione x'!E6</f>
        <v>608.35524974515795</v>
      </c>
      <c r="C89" s="113">
        <f>'masse e forze direzione x'!E24</f>
        <v>194.01588066011857</v>
      </c>
      <c r="D89" s="113">
        <f t="shared" si="8"/>
        <v>7.6322985287937737</v>
      </c>
      <c r="E89" s="113">
        <f t="shared" si="9"/>
        <v>1480.7871205248514</v>
      </c>
      <c r="F89" s="113">
        <f t="shared" si="10"/>
        <v>35.437898347583314</v>
      </c>
    </row>
    <row r="90" spans="1:9" x14ac:dyDescent="0.25">
      <c r="A90" s="106">
        <v>1</v>
      </c>
      <c r="B90" s="112">
        <f>'masse e forze direzione x'!E7</f>
        <v>539.92670744138638</v>
      </c>
      <c r="C90" s="113">
        <f>'masse e forze direzione x'!E25</f>
        <v>88.628614728991309</v>
      </c>
      <c r="D90" s="113">
        <f t="shared" si="8"/>
        <v>3.241548187591492</v>
      </c>
      <c r="E90" s="113">
        <f t="shared" si="9"/>
        <v>287.2939254435064</v>
      </c>
      <c r="F90" s="113">
        <f t="shared" si="10"/>
        <v>5.6733525809092944</v>
      </c>
    </row>
    <row r="91" spans="1:9" x14ac:dyDescent="0.25">
      <c r="A91" s="105"/>
      <c r="B91" s="105"/>
      <c r="C91" s="105"/>
      <c r="D91" s="105" t="s">
        <v>30</v>
      </c>
      <c r="E91" s="113">
        <f>SUM(E85:E90)</f>
        <v>27716.046192569444</v>
      </c>
      <c r="F91" s="113">
        <f>SUM(F85:F90)</f>
        <v>627.27350417917455</v>
      </c>
      <c r="H91" s="15" t="s">
        <v>210</v>
      </c>
      <c r="I91" s="15"/>
    </row>
    <row r="92" spans="1:9" x14ac:dyDescent="0.25">
      <c r="A92" s="105"/>
      <c r="B92" s="105"/>
      <c r="C92" s="105"/>
      <c r="D92" s="105"/>
      <c r="E92" s="108" t="s">
        <v>345</v>
      </c>
      <c r="F92" s="151">
        <f>2*PI()*SQRT(F91/E91)</f>
        <v>0.94524132840542063</v>
      </c>
      <c r="H92" s="15" t="s">
        <v>350</v>
      </c>
      <c r="I92" s="152">
        <f>'masse e forze direzione x'!B13</f>
        <v>0.91479623971647506</v>
      </c>
    </row>
    <row r="93" spans="1:9" x14ac:dyDescent="0.25">
      <c r="E93" s="96"/>
      <c r="F93" s="96"/>
      <c r="H93" s="15"/>
      <c r="I93" s="15"/>
    </row>
    <row r="97" spans="1:8" x14ac:dyDescent="0.25">
      <c r="A97" s="39" t="s">
        <v>346</v>
      </c>
      <c r="B97" s="39"/>
      <c r="C97" s="39"/>
      <c r="D97" s="39"/>
      <c r="E97" s="39"/>
      <c r="F97" s="39"/>
    </row>
    <row r="98" spans="1:8" x14ac:dyDescent="0.25">
      <c r="A98" s="39" t="s">
        <v>0</v>
      </c>
      <c r="B98" s="39" t="s">
        <v>341</v>
      </c>
      <c r="C98" s="39" t="s">
        <v>347</v>
      </c>
      <c r="D98" s="39" t="s">
        <v>235</v>
      </c>
      <c r="E98" s="39" t="s">
        <v>348</v>
      </c>
      <c r="F98" s="39" t="s">
        <v>349</v>
      </c>
    </row>
    <row r="99" spans="1:8" x14ac:dyDescent="0.25">
      <c r="A99" s="39">
        <v>6</v>
      </c>
      <c r="B99" s="55">
        <f>B85</f>
        <v>459.45462283384308</v>
      </c>
      <c r="C99" s="55">
        <f>'masse e forze direzione y'!E20</f>
        <v>523.79031321678917</v>
      </c>
      <c r="D99" s="55">
        <f>E54</f>
        <v>16.092353233165412</v>
      </c>
      <c r="E99" s="55">
        <f>C99*D99</f>
        <v>8429.0187403949203</v>
      </c>
      <c r="F99" s="55">
        <f>B99*D99^2/1000</f>
        <v>118.98213002609572</v>
      </c>
    </row>
    <row r="100" spans="1:8" x14ac:dyDescent="0.25">
      <c r="A100" s="39">
        <v>5</v>
      </c>
      <c r="B100" s="55">
        <f t="shared" ref="B100:B102" si="11">B86</f>
        <v>608.35524974515795</v>
      </c>
      <c r="C100" s="55">
        <f>'masse e forze direzione y'!E21</f>
        <v>579.10667727351677</v>
      </c>
      <c r="D100" s="55">
        <f t="shared" ref="D100:D104" si="12">E55</f>
        <v>14.740581900380619</v>
      </c>
      <c r="E100" s="55">
        <f t="shared" ref="E100:E104" si="13">C100*D100</f>
        <v>8536.3694054075622</v>
      </c>
      <c r="F100" s="55">
        <f t="shared" ref="F100:F104" si="14">B100*D100^2/1000</f>
        <v>132.18632124894768</v>
      </c>
    </row>
    <row r="101" spans="1:8" x14ac:dyDescent="0.25">
      <c r="A101" s="39">
        <v>4</v>
      </c>
      <c r="B101" s="55">
        <f t="shared" si="11"/>
        <v>608.35524974515795</v>
      </c>
      <c r="C101" s="55">
        <f>'masse e forze direzione y'!E22</f>
        <v>464.67242368054639</v>
      </c>
      <c r="D101" s="55">
        <f t="shared" si="12"/>
        <v>12.712477442893318</v>
      </c>
      <c r="E101" s="55">
        <f t="shared" si="13"/>
        <v>5907.1377043735129</v>
      </c>
      <c r="F101" s="55">
        <f t="shared" si="14"/>
        <v>98.31451717848914</v>
      </c>
    </row>
    <row r="102" spans="1:8" x14ac:dyDescent="0.25">
      <c r="A102" s="39">
        <v>3</v>
      </c>
      <c r="B102" s="55">
        <f t="shared" si="11"/>
        <v>608.35524974515795</v>
      </c>
      <c r="C102" s="55">
        <f>'masse e forze direzione y'!E23</f>
        <v>350.23817008757601</v>
      </c>
      <c r="D102" s="55">
        <f t="shared" si="12"/>
        <v>9.9439103109136386</v>
      </c>
      <c r="E102" s="55">
        <f t="shared" si="13"/>
        <v>3482.7369508093716</v>
      </c>
      <c r="F102" s="55">
        <f t="shared" si="14"/>
        <v>60.154989756264023</v>
      </c>
    </row>
    <row r="103" spans="1:8" x14ac:dyDescent="0.25">
      <c r="A103" s="39">
        <v>2</v>
      </c>
      <c r="B103" s="55">
        <f>B89</f>
        <v>608.35524974515795</v>
      </c>
      <c r="C103" s="55">
        <f>'masse e forze direzione y'!E24</f>
        <v>235.80391649460563</v>
      </c>
      <c r="D103" s="55">
        <f t="shared" si="12"/>
        <v>6.635701395939039</v>
      </c>
      <c r="E103" s="55">
        <f t="shared" si="13"/>
        <v>1564.7243778511472</v>
      </c>
      <c r="F103" s="55">
        <f t="shared" si="14"/>
        <v>26.787422619901545</v>
      </c>
    </row>
    <row r="104" spans="1:8" x14ac:dyDescent="0.25">
      <c r="A104" s="39">
        <v>1</v>
      </c>
      <c r="B104" s="55">
        <f>B90</f>
        <v>539.92670744138638</v>
      </c>
      <c r="C104" s="55">
        <f>'masse e forze direzione y'!E25</f>
        <v>107.71785482446636</v>
      </c>
      <c r="D104" s="55">
        <f t="shared" si="12"/>
        <v>3.0347709638305123</v>
      </c>
      <c r="E104" s="55">
        <f t="shared" si="13"/>
        <v>326.89901810740093</v>
      </c>
      <c r="F104" s="55">
        <f t="shared" si="14"/>
        <v>4.9726357812136257</v>
      </c>
    </row>
    <row r="105" spans="1:8" x14ac:dyDescent="0.25">
      <c r="A105" s="39"/>
      <c r="B105" s="55"/>
      <c r="C105" s="55"/>
      <c r="D105" s="55" t="s">
        <v>30</v>
      </c>
      <c r="E105" s="55">
        <f>SUM(E99:E104)</f>
        <v>28246.886196943917</v>
      </c>
      <c r="F105" s="55">
        <f>SUM(F99:F104)</f>
        <v>441.39801661091167</v>
      </c>
      <c r="H105" t="s">
        <v>210</v>
      </c>
    </row>
    <row r="106" spans="1:8" x14ac:dyDescent="0.25">
      <c r="A106" s="39"/>
      <c r="B106" s="39"/>
      <c r="C106" s="39"/>
      <c r="D106" s="39"/>
      <c r="E106" s="114" t="s">
        <v>351</v>
      </c>
      <c r="F106" s="115">
        <f>2*PI()*SQRT(F105/E105)</f>
        <v>0.78543412618283437</v>
      </c>
      <c r="H106" s="152">
        <f>rigidezze!G76</f>
        <v>0.75191872042800334</v>
      </c>
    </row>
    <row r="107" spans="1:8" x14ac:dyDescent="0.25">
      <c r="A107" s="39"/>
      <c r="B107" s="39"/>
      <c r="C107" s="39"/>
      <c r="D107" s="39"/>
      <c r="E107" s="39"/>
      <c r="F107" s="39"/>
      <c r="H107" s="15"/>
    </row>
    <row r="111" spans="1:8" x14ac:dyDescent="0.25">
      <c r="A111" s="15" t="s">
        <v>352</v>
      </c>
      <c r="B111" s="15"/>
      <c r="C111" s="15" t="s">
        <v>353</v>
      </c>
      <c r="D111" s="15">
        <f>1.38</f>
        <v>1.38</v>
      </c>
    </row>
    <row r="112" spans="1:8" x14ac:dyDescent="0.25">
      <c r="A112" s="15"/>
      <c r="B112" s="15"/>
      <c r="C112" s="15" t="s">
        <v>354</v>
      </c>
      <c r="D112" s="15">
        <v>1.4</v>
      </c>
    </row>
    <row r="113" spans="1:4" x14ac:dyDescent="0.25">
      <c r="A113" s="9" t="s">
        <v>355</v>
      </c>
      <c r="B113" s="9" t="s">
        <v>356</v>
      </c>
      <c r="C113" s="9" t="s">
        <v>357</v>
      </c>
      <c r="D113" s="9" t="s">
        <v>149</v>
      </c>
    </row>
    <row r="114" spans="1:4" x14ac:dyDescent="0.25">
      <c r="A114" s="9">
        <v>6</v>
      </c>
      <c r="B114" s="109">
        <f t="shared" ref="B114:B119" si="15">C85</f>
        <v>430.96671340621896</v>
      </c>
      <c r="C114" s="8">
        <f>$D$111</f>
        <v>1.38</v>
      </c>
      <c r="D114" s="109">
        <f>B114*C114</f>
        <v>594.73406450058212</v>
      </c>
    </row>
    <row r="115" spans="1:4" x14ac:dyDescent="0.25">
      <c r="A115" s="9">
        <v>5</v>
      </c>
      <c r="B115" s="109">
        <f t="shared" si="15"/>
        <v>476.48017750352648</v>
      </c>
      <c r="C115" s="8">
        <f t="shared" ref="C115:C119" si="16">$D$111</f>
        <v>1.38</v>
      </c>
      <c r="D115" s="109">
        <f t="shared" ref="D115:D119" si="17">B115*C115</f>
        <v>657.54264495486643</v>
      </c>
    </row>
    <row r="116" spans="1:4" x14ac:dyDescent="0.25">
      <c r="A116" s="9">
        <v>4</v>
      </c>
      <c r="B116" s="109">
        <f t="shared" si="15"/>
        <v>382.32541188905719</v>
      </c>
      <c r="C116" s="8">
        <f t="shared" si="16"/>
        <v>1.38</v>
      </c>
      <c r="D116" s="109">
        <f t="shared" si="17"/>
        <v>527.60906840689893</v>
      </c>
    </row>
    <row r="117" spans="1:4" x14ac:dyDescent="0.25">
      <c r="A117" s="9">
        <v>3</v>
      </c>
      <c r="B117" s="109">
        <f t="shared" si="15"/>
        <v>288.17064627458785</v>
      </c>
      <c r="C117" s="8">
        <f t="shared" si="16"/>
        <v>1.38</v>
      </c>
      <c r="D117" s="109">
        <f t="shared" si="17"/>
        <v>397.6754918589312</v>
      </c>
    </row>
    <row r="118" spans="1:4" x14ac:dyDescent="0.25">
      <c r="A118" s="9">
        <v>2</v>
      </c>
      <c r="B118" s="109">
        <f t="shared" si="15"/>
        <v>194.01588066011857</v>
      </c>
      <c r="C118" s="8">
        <f t="shared" si="16"/>
        <v>1.38</v>
      </c>
      <c r="D118" s="109">
        <f t="shared" si="17"/>
        <v>267.74191531096358</v>
      </c>
    </row>
    <row r="119" spans="1:4" x14ac:dyDescent="0.25">
      <c r="A119" s="9">
        <v>1</v>
      </c>
      <c r="B119" s="109">
        <f t="shared" si="15"/>
        <v>88.628614728991309</v>
      </c>
      <c r="C119" s="8">
        <f t="shared" si="16"/>
        <v>1.38</v>
      </c>
      <c r="D119" s="109">
        <f t="shared" si="17"/>
        <v>122.307488326008</v>
      </c>
    </row>
    <row r="122" spans="1:4" x14ac:dyDescent="0.25">
      <c r="A122" s="8" t="s">
        <v>355</v>
      </c>
      <c r="B122" s="8" t="s">
        <v>358</v>
      </c>
      <c r="C122" s="8" t="s">
        <v>357</v>
      </c>
      <c r="D122" s="8" t="s">
        <v>149</v>
      </c>
    </row>
    <row r="123" spans="1:4" x14ac:dyDescent="0.25">
      <c r="A123" s="8">
        <v>6</v>
      </c>
      <c r="B123" s="109">
        <f>C99</f>
        <v>523.79031321678917</v>
      </c>
      <c r="C123" s="8">
        <f>$D$112</f>
        <v>1.4</v>
      </c>
      <c r="D123" s="110">
        <f>B123*C123</f>
        <v>733.30643850350475</v>
      </c>
    </row>
    <row r="124" spans="1:4" x14ac:dyDescent="0.25">
      <c r="A124" s="8">
        <v>5</v>
      </c>
      <c r="B124" s="109">
        <f t="shared" ref="B124:B128" si="18">C100</f>
        <v>579.10667727351677</v>
      </c>
      <c r="C124" s="8">
        <f t="shared" ref="C124:C128" si="19">$D$112</f>
        <v>1.4</v>
      </c>
      <c r="D124" s="110">
        <f t="shared" ref="D124:D128" si="20">B124*C124</f>
        <v>810.74934818292343</v>
      </c>
    </row>
    <row r="125" spans="1:4" x14ac:dyDescent="0.25">
      <c r="A125" s="8">
        <v>4</v>
      </c>
      <c r="B125" s="109">
        <f t="shared" si="18"/>
        <v>464.67242368054639</v>
      </c>
      <c r="C125" s="8">
        <f t="shared" si="19"/>
        <v>1.4</v>
      </c>
      <c r="D125" s="110">
        <f t="shared" si="20"/>
        <v>650.54139315276495</v>
      </c>
    </row>
    <row r="126" spans="1:4" x14ac:dyDescent="0.25">
      <c r="A126" s="8">
        <v>3</v>
      </c>
      <c r="B126" s="109">
        <f t="shared" si="18"/>
        <v>350.23817008757601</v>
      </c>
      <c r="C126" s="8">
        <f t="shared" si="19"/>
        <v>1.4</v>
      </c>
      <c r="D126" s="110">
        <f t="shared" si="20"/>
        <v>490.33343812260637</v>
      </c>
    </row>
    <row r="127" spans="1:4" x14ac:dyDescent="0.25">
      <c r="A127" s="8">
        <v>2</v>
      </c>
      <c r="B127" s="109">
        <f t="shared" si="18"/>
        <v>235.80391649460563</v>
      </c>
      <c r="C127" s="8">
        <f t="shared" si="19"/>
        <v>1.4</v>
      </c>
      <c r="D127" s="110">
        <f t="shared" si="20"/>
        <v>330.12548309244784</v>
      </c>
    </row>
    <row r="128" spans="1:4" x14ac:dyDescent="0.25">
      <c r="A128" s="8">
        <v>1</v>
      </c>
      <c r="B128" s="109">
        <f t="shared" si="18"/>
        <v>107.71785482446636</v>
      </c>
      <c r="C128" s="8">
        <f t="shared" si="19"/>
        <v>1.4</v>
      </c>
      <c r="D128" s="110">
        <f t="shared" si="20"/>
        <v>150.8049967542529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06" zoomScaleNormal="106" workbookViewId="0">
      <selection activeCell="I18" sqref="I18"/>
    </sheetView>
  </sheetViews>
  <sheetFormatPr defaultRowHeight="15" x14ac:dyDescent="0.25"/>
  <cols>
    <col min="3" max="3" width="18.85546875" customWidth="1"/>
    <col min="4" max="4" width="18.7109375" customWidth="1"/>
    <col min="8" max="8" width="12.42578125" customWidth="1"/>
    <col min="9" max="9" width="17.5703125" customWidth="1"/>
    <col min="10" max="10" width="22.5703125" customWidth="1"/>
  </cols>
  <sheetData>
    <row r="1" spans="1:9" x14ac:dyDescent="0.25">
      <c r="A1" s="15" t="s">
        <v>209</v>
      </c>
      <c r="B1" s="15"/>
    </row>
    <row r="2" spans="1:9" x14ac:dyDescent="0.25">
      <c r="A2" s="132"/>
      <c r="B2" s="132" t="s">
        <v>213</v>
      </c>
      <c r="C2" s="132"/>
      <c r="G2" s="133"/>
      <c r="H2" s="133" t="s">
        <v>215</v>
      </c>
      <c r="I2" s="133"/>
    </row>
    <row r="3" spans="1:9" x14ac:dyDescent="0.25">
      <c r="A3" s="7" t="s">
        <v>0</v>
      </c>
      <c r="B3" s="7" t="s">
        <v>210</v>
      </c>
      <c r="C3" s="2" t="s">
        <v>214</v>
      </c>
      <c r="G3" s="2" t="s">
        <v>0</v>
      </c>
      <c r="H3" s="2" t="s">
        <v>210</v>
      </c>
      <c r="I3" s="2" t="s">
        <v>214</v>
      </c>
    </row>
    <row r="4" spans="1:9" x14ac:dyDescent="0.25">
      <c r="A4" s="2">
        <v>6</v>
      </c>
      <c r="B4" s="2">
        <f>'bilanci rigi IV impalcato'!M37</f>
        <v>120.49000000000001</v>
      </c>
      <c r="C4" s="12">
        <v>84.25</v>
      </c>
      <c r="G4" s="2">
        <v>6</v>
      </c>
      <c r="H4" s="2">
        <f>'bilanci rigi IV impalcato'!M32</f>
        <v>23.669999999999998</v>
      </c>
      <c r="I4" s="12">
        <v>18.989999999999998</v>
      </c>
    </row>
    <row r="5" spans="1:9" x14ac:dyDescent="0.25">
      <c r="A5" s="2">
        <v>5</v>
      </c>
      <c r="B5" s="2">
        <f>'bilanc.rigidezze I'!$M$37</f>
        <v>133.1</v>
      </c>
      <c r="C5" s="12">
        <v>123.9</v>
      </c>
      <c r="G5" s="2">
        <v>5</v>
      </c>
      <c r="H5" s="2">
        <f>'bilanc.rigidezze I'!$M$32</f>
        <v>21.04</v>
      </c>
      <c r="I5" s="12">
        <v>19.86</v>
      </c>
    </row>
    <row r="6" spans="1:9" x14ac:dyDescent="0.25">
      <c r="A6" s="2">
        <v>4</v>
      </c>
      <c r="B6" s="2">
        <f>'bilanc.rigidezze I'!$M$37</f>
        <v>133.1</v>
      </c>
      <c r="C6" s="12">
        <v>127.15</v>
      </c>
      <c r="G6" s="2">
        <v>4</v>
      </c>
      <c r="H6" s="2">
        <f>'bilanc.rigidezze I'!$M$32</f>
        <v>21.04</v>
      </c>
      <c r="I6" s="2">
        <v>20.88</v>
      </c>
    </row>
    <row r="7" spans="1:9" x14ac:dyDescent="0.25">
      <c r="A7" s="2">
        <v>3</v>
      </c>
      <c r="B7" s="2">
        <f>'bilanc.rigidezze I'!$M$37</f>
        <v>133.1</v>
      </c>
      <c r="C7" s="12">
        <v>129.43</v>
      </c>
      <c r="G7" s="2">
        <v>3</v>
      </c>
      <c r="H7" s="2">
        <f>'bilanc.rigidezze I'!$M$32</f>
        <v>21.04</v>
      </c>
      <c r="I7" s="12">
        <v>21.026</v>
      </c>
    </row>
    <row r="8" spans="1:9" x14ac:dyDescent="0.25">
      <c r="A8" s="2">
        <v>2</v>
      </c>
      <c r="B8" s="2">
        <f>'bilanc.rigidezze I'!$M$37</f>
        <v>133.1</v>
      </c>
      <c r="C8" s="12">
        <v>136.88999999999999</v>
      </c>
      <c r="G8" s="2">
        <v>2</v>
      </c>
      <c r="H8" s="2">
        <f>'bilanc.rigidezze I'!$M$32</f>
        <v>21.04</v>
      </c>
      <c r="I8" s="2">
        <v>22.1</v>
      </c>
    </row>
    <row r="9" spans="1:9" x14ac:dyDescent="0.25">
      <c r="A9" s="2">
        <v>1</v>
      </c>
      <c r="B9" s="2">
        <f>'bilanc.rigid piano interrato'!M37</f>
        <v>211.31</v>
      </c>
      <c r="C9" s="12">
        <v>190.9</v>
      </c>
      <c r="G9" s="2">
        <v>1</v>
      </c>
      <c r="H9" s="2">
        <f>'bilanc.rigid piano interrato'!M32</f>
        <v>35.56</v>
      </c>
      <c r="I9" s="2">
        <v>32.94</v>
      </c>
    </row>
    <row r="10" spans="1:9" x14ac:dyDescent="0.25">
      <c r="C10" s="16"/>
    </row>
    <row r="11" spans="1:9" x14ac:dyDescent="0.25">
      <c r="A11" s="133"/>
      <c r="B11" s="133" t="s">
        <v>216</v>
      </c>
      <c r="C11" s="133"/>
      <c r="G11" s="133"/>
      <c r="H11" s="133" t="s">
        <v>217</v>
      </c>
      <c r="I11" s="133"/>
    </row>
    <row r="12" spans="1:9" x14ac:dyDescent="0.25">
      <c r="A12" s="2" t="s">
        <v>0</v>
      </c>
      <c r="B12" s="2" t="s">
        <v>210</v>
      </c>
      <c r="C12" s="2" t="s">
        <v>214</v>
      </c>
      <c r="G12" s="2" t="s">
        <v>0</v>
      </c>
      <c r="H12" s="2" t="s">
        <v>210</v>
      </c>
      <c r="I12" s="2" t="s">
        <v>214</v>
      </c>
    </row>
    <row r="13" spans="1:9" x14ac:dyDescent="0.25">
      <c r="A13" s="2">
        <v>6</v>
      </c>
      <c r="B13" s="2">
        <f>'bilanci rigi IV impalcato'!M27</f>
        <v>24.069999999999997</v>
      </c>
      <c r="C13" s="12">
        <v>19.03</v>
      </c>
      <c r="G13" s="2">
        <v>6</v>
      </c>
      <c r="H13" s="2">
        <f>'bilanci rigi IV impalcato'!M22</f>
        <v>66.03</v>
      </c>
      <c r="I13" s="2">
        <v>40.54</v>
      </c>
    </row>
    <row r="14" spans="1:9" x14ac:dyDescent="0.25">
      <c r="A14" s="2">
        <v>5</v>
      </c>
      <c r="B14" s="2">
        <f>'bilanc.rigidezze I'!$M$27</f>
        <v>21.04</v>
      </c>
      <c r="C14" s="2">
        <v>19.86</v>
      </c>
      <c r="G14" s="2">
        <v>5</v>
      </c>
      <c r="H14" s="2">
        <f>'bilanc.rigidezze I'!$M$22</f>
        <v>71.5</v>
      </c>
      <c r="I14" s="2">
        <v>61.89</v>
      </c>
    </row>
    <row r="15" spans="1:9" x14ac:dyDescent="0.25">
      <c r="A15" s="2">
        <v>4</v>
      </c>
      <c r="B15" s="2">
        <f>'bilanc.rigidezze I'!$M$27</f>
        <v>21.04</v>
      </c>
      <c r="C15" s="2">
        <v>20.88</v>
      </c>
      <c r="G15" s="2">
        <v>4</v>
      </c>
      <c r="H15" s="2">
        <f>'bilanc.rigidezze I'!$M$22</f>
        <v>71.5</v>
      </c>
      <c r="I15" s="2">
        <v>64.989999999999995</v>
      </c>
    </row>
    <row r="16" spans="1:9" x14ac:dyDescent="0.25">
      <c r="A16" s="2">
        <v>3</v>
      </c>
      <c r="B16" s="2">
        <f>'bilanc.rigidezze I'!$M$27</f>
        <v>21.04</v>
      </c>
      <c r="C16" s="12">
        <v>21.026</v>
      </c>
      <c r="G16" s="2">
        <v>3</v>
      </c>
      <c r="H16" s="2">
        <f>'bilanc.rigidezze I'!$M$22</f>
        <v>71.5</v>
      </c>
      <c r="I16" s="2">
        <v>66.81</v>
      </c>
    </row>
    <row r="17" spans="1:9" x14ac:dyDescent="0.25">
      <c r="A17" s="2">
        <v>2</v>
      </c>
      <c r="B17" s="2">
        <f>'bilanc.rigidezze I'!$M$27</f>
        <v>21.04</v>
      </c>
      <c r="C17" s="2">
        <v>22.14</v>
      </c>
      <c r="G17" s="2">
        <v>2</v>
      </c>
      <c r="H17" s="2">
        <f>'bilanc.rigidezze I'!$M$22</f>
        <v>71.5</v>
      </c>
      <c r="I17" s="2">
        <v>71.33</v>
      </c>
    </row>
    <row r="18" spans="1:9" x14ac:dyDescent="0.25">
      <c r="A18" s="2">
        <v>1</v>
      </c>
      <c r="B18" s="2">
        <f>'bilanc.rigid piano interrato'!M27</f>
        <v>35.56</v>
      </c>
      <c r="C18" s="2">
        <v>32.86</v>
      </c>
      <c r="G18" s="2">
        <v>1</v>
      </c>
      <c r="H18" s="2">
        <f>'bilanc.rigid piano interrato'!M22</f>
        <v>122.25</v>
      </c>
      <c r="I18" s="2">
        <v>106.65</v>
      </c>
    </row>
    <row r="21" spans="1:9" x14ac:dyDescent="0.25">
      <c r="A21" s="133"/>
      <c r="B21" s="133" t="s">
        <v>218</v>
      </c>
      <c r="C21" s="133"/>
      <c r="G21" s="133"/>
      <c r="H21" s="133" t="s">
        <v>219</v>
      </c>
      <c r="I21" s="133"/>
    </row>
    <row r="22" spans="1:9" x14ac:dyDescent="0.25">
      <c r="A22" s="2" t="s">
        <v>0</v>
      </c>
      <c r="B22" s="2" t="s">
        <v>210</v>
      </c>
      <c r="C22" s="2" t="s">
        <v>214</v>
      </c>
      <c r="G22" s="2" t="s">
        <v>0</v>
      </c>
      <c r="H22" s="2" t="s">
        <v>210</v>
      </c>
      <c r="I22" s="2" t="s">
        <v>214</v>
      </c>
    </row>
    <row r="23" spans="1:9" x14ac:dyDescent="0.25">
      <c r="A23" s="2">
        <v>6</v>
      </c>
      <c r="B23" s="2">
        <f>'bilanci rigi IV impalcato'!M19</f>
        <v>66.03</v>
      </c>
      <c r="C23" s="12">
        <v>40.234000000000002</v>
      </c>
      <c r="G23" s="2">
        <v>6</v>
      </c>
      <c r="H23" s="2">
        <f>'bilanci rigi IV impalcato'!M14</f>
        <v>13.049999999999999</v>
      </c>
      <c r="I23" s="2">
        <v>9.6999999999999993</v>
      </c>
    </row>
    <row r="24" spans="1:9" x14ac:dyDescent="0.25">
      <c r="A24" s="2">
        <v>5</v>
      </c>
      <c r="B24" s="12">
        <f>'bilanc.rigidezze I'!$M$19</f>
        <v>71.5</v>
      </c>
      <c r="C24" s="2">
        <v>61.69</v>
      </c>
      <c r="G24" s="2">
        <v>5</v>
      </c>
      <c r="H24" s="2">
        <f>'bilanc.rigidezze I'!$M$14</f>
        <v>11.24</v>
      </c>
      <c r="I24" s="2">
        <v>10.220000000000001</v>
      </c>
    </row>
    <row r="25" spans="1:9" x14ac:dyDescent="0.25">
      <c r="A25" s="2">
        <v>4</v>
      </c>
      <c r="B25" s="12">
        <f>'bilanc.rigidezze I'!$M$19</f>
        <v>71.5</v>
      </c>
      <c r="C25" s="2">
        <v>64.91</v>
      </c>
      <c r="G25" s="2">
        <v>4</v>
      </c>
      <c r="H25" s="2">
        <f>'bilanc.rigidezze I'!$M$14</f>
        <v>11.24</v>
      </c>
      <c r="I25" s="2">
        <v>10.87</v>
      </c>
    </row>
    <row r="26" spans="1:9" x14ac:dyDescent="0.25">
      <c r="A26" s="2">
        <v>3</v>
      </c>
      <c r="B26" s="12">
        <f>'bilanc.rigidezze I'!$M$19</f>
        <v>71.5</v>
      </c>
      <c r="C26" s="2">
        <v>66.81</v>
      </c>
      <c r="G26" s="2">
        <v>3</v>
      </c>
      <c r="H26" s="2">
        <f>'bilanc.rigidezze I'!$M$14</f>
        <v>11.24</v>
      </c>
      <c r="I26" s="2">
        <v>10.98</v>
      </c>
    </row>
    <row r="27" spans="1:9" x14ac:dyDescent="0.25">
      <c r="A27" s="2">
        <v>2</v>
      </c>
      <c r="B27" s="12">
        <f>'bilanc.rigidezze I'!$M$19</f>
        <v>71.5</v>
      </c>
      <c r="C27" s="12">
        <v>71.45</v>
      </c>
      <c r="G27" s="2">
        <v>2</v>
      </c>
      <c r="H27" s="2">
        <f>'bilanc.rigidezze I'!$M$14</f>
        <v>11.24</v>
      </c>
      <c r="I27" s="12">
        <v>11.61</v>
      </c>
    </row>
    <row r="28" spans="1:9" x14ac:dyDescent="0.25">
      <c r="A28" s="2">
        <v>1</v>
      </c>
      <c r="B28" s="2">
        <f>'bilanc.rigid piano interrato'!M19</f>
        <v>122.25</v>
      </c>
      <c r="C28" s="2">
        <v>106.59</v>
      </c>
      <c r="G28" s="2">
        <v>1</v>
      </c>
      <c r="H28" s="2">
        <f>'bilanc.rigid piano interrato'!M14</f>
        <v>20.28</v>
      </c>
      <c r="I28" s="12">
        <v>18.43</v>
      </c>
    </row>
    <row r="31" spans="1:9" x14ac:dyDescent="0.25">
      <c r="A31" s="133"/>
      <c r="B31" s="133" t="s">
        <v>220</v>
      </c>
      <c r="C31" s="133"/>
    </row>
    <row r="32" spans="1:9" x14ac:dyDescent="0.25">
      <c r="A32" s="2" t="s">
        <v>0</v>
      </c>
      <c r="B32" s="2" t="s">
        <v>210</v>
      </c>
      <c r="C32" s="2" t="s">
        <v>214</v>
      </c>
    </row>
    <row r="33" spans="1:3" x14ac:dyDescent="0.25">
      <c r="A33" s="2">
        <v>6</v>
      </c>
      <c r="B33" s="2">
        <f>'bilanci rigi IV impalcato'!M9</f>
        <v>66.03</v>
      </c>
      <c r="C33" s="12">
        <v>40.479999999999997</v>
      </c>
    </row>
    <row r="34" spans="1:3" x14ac:dyDescent="0.25">
      <c r="A34" s="2">
        <v>5</v>
      </c>
      <c r="B34" s="2">
        <f>'bilanc.rigidezze I'!$M$9</f>
        <v>71.5</v>
      </c>
      <c r="C34" s="12">
        <v>61.75</v>
      </c>
    </row>
    <row r="35" spans="1:3" x14ac:dyDescent="0.25">
      <c r="A35" s="2">
        <v>4</v>
      </c>
      <c r="B35" s="2">
        <f>'bilanc.rigidezze I'!$M$9</f>
        <v>71.5</v>
      </c>
      <c r="C35" s="12">
        <v>64.91</v>
      </c>
    </row>
    <row r="36" spans="1:3" x14ac:dyDescent="0.25">
      <c r="A36" s="2">
        <v>3</v>
      </c>
      <c r="B36" s="2">
        <f>'bilanc.rigidezze I'!$M$9</f>
        <v>71.5</v>
      </c>
      <c r="C36" s="12">
        <v>66.83</v>
      </c>
    </row>
    <row r="37" spans="1:3" x14ac:dyDescent="0.25">
      <c r="A37" s="2">
        <v>2</v>
      </c>
      <c r="B37" s="2">
        <f>'bilanc.rigidezze I'!$M$9</f>
        <v>71.5</v>
      </c>
      <c r="C37" s="12">
        <v>71.715999999999994</v>
      </c>
    </row>
    <row r="38" spans="1:3" x14ac:dyDescent="0.25">
      <c r="A38" s="2">
        <v>1</v>
      </c>
      <c r="B38" s="2">
        <f>'bilanc.rigid piano interrato'!M9</f>
        <v>122.25</v>
      </c>
      <c r="C38" s="12">
        <v>105.96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opLeftCell="A10" zoomScale="87" zoomScaleNormal="87" workbookViewId="0">
      <selection activeCell="D31" sqref="D31"/>
    </sheetView>
  </sheetViews>
  <sheetFormatPr defaultRowHeight="15" x14ac:dyDescent="0.25"/>
  <cols>
    <col min="2" max="2" width="15.28515625" customWidth="1"/>
    <col min="3" max="3" width="18.5703125" customWidth="1"/>
    <col min="4" max="4" width="28.7109375" customWidth="1"/>
    <col min="7" max="7" width="12.28515625" customWidth="1"/>
    <col min="8" max="8" width="11.28515625" customWidth="1"/>
    <col min="9" max="9" width="21.28515625" customWidth="1"/>
    <col min="10" max="10" width="22.7109375" customWidth="1"/>
  </cols>
  <sheetData>
    <row r="2" spans="1:9" x14ac:dyDescent="0.25">
      <c r="A2" s="134"/>
      <c r="B2" s="134" t="s">
        <v>221</v>
      </c>
      <c r="C2" s="134"/>
      <c r="G2" s="134"/>
      <c r="H2" s="134" t="s">
        <v>222</v>
      </c>
      <c r="I2" s="134"/>
    </row>
    <row r="3" spans="1:9" x14ac:dyDescent="0.25">
      <c r="A3" s="100" t="s">
        <v>0</v>
      </c>
      <c r="B3" s="100" t="s">
        <v>210</v>
      </c>
      <c r="C3" s="100" t="s">
        <v>214</v>
      </c>
      <c r="G3" s="100" t="s">
        <v>0</v>
      </c>
      <c r="H3" s="100" t="s">
        <v>210</v>
      </c>
      <c r="I3" s="100" t="s">
        <v>214</v>
      </c>
    </row>
    <row r="4" spans="1:9" x14ac:dyDescent="0.25">
      <c r="A4" s="2">
        <v>6</v>
      </c>
      <c r="B4" s="2">
        <f>'bilanci rigi IV impalcato'!C79</f>
        <v>88.86</v>
      </c>
      <c r="C4" s="12">
        <v>61.78</v>
      </c>
      <c r="G4" s="2">
        <v>6</v>
      </c>
      <c r="H4" s="2">
        <f>'bilanci rigi IV impalcato'!E79</f>
        <v>51.22</v>
      </c>
      <c r="I4" s="12">
        <v>29.5</v>
      </c>
    </row>
    <row r="5" spans="1:9" x14ac:dyDescent="0.25">
      <c r="A5" s="2">
        <v>5</v>
      </c>
      <c r="B5" s="12">
        <f>'bilanc.rigidezze I'!$C$79</f>
        <v>104.68</v>
      </c>
      <c r="C5" s="12">
        <v>90.57</v>
      </c>
      <c r="G5" s="2">
        <v>5</v>
      </c>
      <c r="H5" s="12">
        <f>'bilanc.rigidezze I'!$E$79</f>
        <v>52.03</v>
      </c>
      <c r="I5" s="12">
        <v>41.87</v>
      </c>
    </row>
    <row r="6" spans="1:9" x14ac:dyDescent="0.25">
      <c r="A6" s="2">
        <v>4</v>
      </c>
      <c r="B6" s="12">
        <f>'bilanc.rigidezze I'!$C$79</f>
        <v>104.68</v>
      </c>
      <c r="C6" s="12">
        <v>94.39</v>
      </c>
      <c r="G6" s="2">
        <v>4</v>
      </c>
      <c r="H6" s="12">
        <f>'bilanc.rigidezze I'!$E$79</f>
        <v>52.03</v>
      </c>
      <c r="I6" s="12">
        <v>46.83</v>
      </c>
    </row>
    <row r="7" spans="1:9" x14ac:dyDescent="0.25">
      <c r="A7" s="2">
        <v>3</v>
      </c>
      <c r="B7" s="12">
        <f>'bilanc.rigidezze I'!$C$79</f>
        <v>104.68</v>
      </c>
      <c r="C7" s="12">
        <v>96.77</v>
      </c>
      <c r="G7" s="2">
        <v>3</v>
      </c>
      <c r="H7" s="12">
        <f>'bilanc.rigidezze I'!$E$79</f>
        <v>52.03</v>
      </c>
      <c r="I7" s="12">
        <v>49</v>
      </c>
    </row>
    <row r="8" spans="1:9" x14ac:dyDescent="0.25">
      <c r="A8" s="2">
        <v>2</v>
      </c>
      <c r="B8" s="12">
        <f>'bilanc.rigidezze I'!$C$79</f>
        <v>104.68</v>
      </c>
      <c r="C8" s="12">
        <v>101.03</v>
      </c>
      <c r="G8" s="2">
        <v>2</v>
      </c>
      <c r="H8" s="12">
        <f>'bilanc.rigidezze I'!$E$79</f>
        <v>52.03</v>
      </c>
      <c r="I8" s="12">
        <v>48.74</v>
      </c>
    </row>
    <row r="9" spans="1:9" x14ac:dyDescent="0.25">
      <c r="A9" s="2">
        <v>1</v>
      </c>
      <c r="B9" s="2">
        <f>'bilanc.rigid piano interrato'!C79</f>
        <v>125.48</v>
      </c>
      <c r="C9" s="12">
        <v>119.2</v>
      </c>
      <c r="G9" s="2">
        <v>1</v>
      </c>
      <c r="H9" s="2">
        <f>'bilanc.rigid piano interrato'!E79</f>
        <v>88.350000000000009</v>
      </c>
      <c r="I9" s="12">
        <v>88.32</v>
      </c>
    </row>
    <row r="12" spans="1:9" x14ac:dyDescent="0.25">
      <c r="A12" s="135"/>
      <c r="B12" s="135" t="s">
        <v>223</v>
      </c>
      <c r="C12" s="135"/>
      <c r="G12" s="98"/>
      <c r="H12" s="98"/>
      <c r="I12" s="98"/>
    </row>
    <row r="13" spans="1:9" x14ac:dyDescent="0.25">
      <c r="A13" s="99" t="s">
        <v>0</v>
      </c>
      <c r="B13" s="99" t="s">
        <v>210</v>
      </c>
      <c r="C13" s="99" t="s">
        <v>214</v>
      </c>
      <c r="G13" s="135"/>
      <c r="H13" s="135" t="s">
        <v>224</v>
      </c>
      <c r="I13" s="135"/>
    </row>
    <row r="14" spans="1:9" x14ac:dyDescent="0.25">
      <c r="A14" s="2">
        <v>6</v>
      </c>
      <c r="B14" s="7">
        <f>'bilanci rigi IV impalcato'!G79</f>
        <v>145.59</v>
      </c>
      <c r="C14" s="2">
        <v>109.74</v>
      </c>
      <c r="G14" s="99" t="s">
        <v>0</v>
      </c>
      <c r="H14" s="99" t="s">
        <v>210</v>
      </c>
      <c r="I14" s="99" t="s">
        <v>214</v>
      </c>
    </row>
    <row r="15" spans="1:9" x14ac:dyDescent="0.25">
      <c r="A15" s="2">
        <v>5</v>
      </c>
      <c r="B15" s="89">
        <f>'bilanc.rigidezze I'!$G$79</f>
        <v>170.8</v>
      </c>
      <c r="C15" s="2">
        <v>151.63999999999999</v>
      </c>
      <c r="G15" s="2">
        <v>6</v>
      </c>
      <c r="H15" s="2">
        <f>'bilanci rigi IV impalcato'!I79</f>
        <v>134.08000000000001</v>
      </c>
      <c r="I15" s="2">
        <v>91.08</v>
      </c>
    </row>
    <row r="16" spans="1:9" x14ac:dyDescent="0.25">
      <c r="A16" s="2">
        <v>4</v>
      </c>
      <c r="B16" s="89">
        <f>'bilanc.rigidezze I'!$G$79</f>
        <v>170.8</v>
      </c>
      <c r="C16" s="2">
        <v>155.57</v>
      </c>
      <c r="G16" s="2">
        <v>5</v>
      </c>
      <c r="H16" s="12">
        <f>'bilanc.rigidezze I'!$I$79</f>
        <v>158.09000000000003</v>
      </c>
      <c r="I16" s="2">
        <v>130.19</v>
      </c>
    </row>
    <row r="17" spans="1:9" x14ac:dyDescent="0.25">
      <c r="A17" s="2">
        <v>3</v>
      </c>
      <c r="B17" s="89">
        <f>'bilanc.rigidezze I'!$G$79</f>
        <v>170.8</v>
      </c>
      <c r="C17" s="12">
        <v>157.94999999999999</v>
      </c>
      <c r="G17" s="2">
        <v>4</v>
      </c>
      <c r="H17" s="12">
        <f>'bilanc.rigidezze I'!$I$79</f>
        <v>158.09000000000003</v>
      </c>
      <c r="I17" s="2">
        <v>135.25</v>
      </c>
    </row>
    <row r="18" spans="1:9" x14ac:dyDescent="0.25">
      <c r="A18" s="2">
        <v>2</v>
      </c>
      <c r="B18" s="89">
        <f>'bilanc.rigidezze I'!$G$79</f>
        <v>170.8</v>
      </c>
      <c r="C18" s="2">
        <v>162.49</v>
      </c>
      <c r="G18" s="2">
        <v>3</v>
      </c>
      <c r="H18" s="12">
        <f>'bilanc.rigidezze I'!$I$79</f>
        <v>158.09000000000003</v>
      </c>
      <c r="I18" s="2">
        <v>138.13</v>
      </c>
    </row>
    <row r="19" spans="1:9" x14ac:dyDescent="0.25">
      <c r="A19" s="2">
        <v>1</v>
      </c>
      <c r="B19" s="7">
        <f>'bilanc.rigid piano interrato'!G79</f>
        <v>200.95999999999998</v>
      </c>
      <c r="C19" s="2">
        <v>189.86</v>
      </c>
      <c r="G19" s="2">
        <v>2</v>
      </c>
      <c r="H19" s="12">
        <f>'bilanc.rigidezze I'!$I$79</f>
        <v>158.09000000000003</v>
      </c>
      <c r="I19" s="2">
        <v>142.63</v>
      </c>
    </row>
    <row r="20" spans="1:9" x14ac:dyDescent="0.25">
      <c r="G20" s="2">
        <v>1</v>
      </c>
      <c r="H20" s="2">
        <f>'bilanc.rigid piano interrato'!I79</f>
        <v>188.73999999999998</v>
      </c>
      <c r="I20" s="2">
        <v>174.44</v>
      </c>
    </row>
    <row r="22" spans="1:9" x14ac:dyDescent="0.25">
      <c r="A22" s="135"/>
      <c r="B22" s="135" t="s">
        <v>225</v>
      </c>
      <c r="C22" s="135"/>
    </row>
    <row r="23" spans="1:9" x14ac:dyDescent="0.25">
      <c r="A23" s="99" t="s">
        <v>0</v>
      </c>
      <c r="B23" s="99" t="s">
        <v>210</v>
      </c>
      <c r="C23" s="99" t="s">
        <v>214</v>
      </c>
    </row>
    <row r="24" spans="1:9" x14ac:dyDescent="0.25">
      <c r="A24" s="2">
        <v>6</v>
      </c>
      <c r="B24" s="2">
        <f>'bilanci rigi IV impalcato'!K79</f>
        <v>134.08000000000001</v>
      </c>
      <c r="C24" s="12">
        <v>90.9</v>
      </c>
    </row>
    <row r="25" spans="1:9" x14ac:dyDescent="0.25">
      <c r="A25" s="2">
        <v>5</v>
      </c>
      <c r="B25" s="12">
        <f>'bilanc.rigidezze I'!$K$79</f>
        <v>158.09000000000003</v>
      </c>
      <c r="C25" s="12">
        <v>130.08000000000001</v>
      </c>
    </row>
    <row r="26" spans="1:9" x14ac:dyDescent="0.25">
      <c r="A26" s="2">
        <v>4</v>
      </c>
      <c r="B26" s="12">
        <f>'bilanc.rigidezze I'!$K$79</f>
        <v>158.09000000000003</v>
      </c>
      <c r="C26" s="12">
        <v>135.26</v>
      </c>
    </row>
    <row r="27" spans="1:9" x14ac:dyDescent="0.25">
      <c r="A27" s="2">
        <v>3</v>
      </c>
      <c r="B27" s="12">
        <f>'bilanc.rigidezze I'!$K$79</f>
        <v>158.09000000000003</v>
      </c>
      <c r="C27" s="12">
        <v>138.15</v>
      </c>
    </row>
    <row r="28" spans="1:9" x14ac:dyDescent="0.25">
      <c r="A28" s="2">
        <v>2</v>
      </c>
      <c r="B28" s="12">
        <f>'bilanc.rigidezze I'!$K$79</f>
        <v>158.09000000000003</v>
      </c>
      <c r="C28" s="12">
        <v>142.45699999999999</v>
      </c>
    </row>
    <row r="29" spans="1:9" x14ac:dyDescent="0.25">
      <c r="A29" s="2">
        <v>1</v>
      </c>
      <c r="B29" s="2">
        <f>'bilanc.rigid piano interrato'!K79</f>
        <v>188.73999999999998</v>
      </c>
      <c r="C29" s="12">
        <v>174.74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75" zoomScaleNormal="75" workbookViewId="0">
      <selection activeCell="B6" sqref="B6"/>
    </sheetView>
  </sheetViews>
  <sheetFormatPr defaultRowHeight="15" x14ac:dyDescent="0.25"/>
  <cols>
    <col min="1" max="1" width="23.7109375" customWidth="1"/>
    <col min="2" max="2" width="12.140625" customWidth="1"/>
    <col min="3" max="3" width="11.5703125" customWidth="1"/>
    <col min="4" max="4" width="18.7109375" customWidth="1"/>
    <col min="5" max="5" width="39" customWidth="1"/>
  </cols>
  <sheetData>
    <row r="1" spans="1:11" x14ac:dyDescent="0.25">
      <c r="A1" s="2"/>
      <c r="B1" s="2" t="s">
        <v>18</v>
      </c>
      <c r="C1" s="2" t="s">
        <v>19</v>
      </c>
      <c r="D1" s="2" t="s">
        <v>20</v>
      </c>
      <c r="E1" s="11" t="s">
        <v>79</v>
      </c>
      <c r="F1" s="7"/>
      <c r="G1" s="7"/>
    </row>
    <row r="2" spans="1:11" x14ac:dyDescent="0.25">
      <c r="A2" s="2" t="s">
        <v>17</v>
      </c>
      <c r="B2" s="2">
        <f>3.68+1.94</f>
        <v>5.62</v>
      </c>
      <c r="C2" s="12">
        <f>1.2+2</f>
        <v>3.2</v>
      </c>
      <c r="D2" s="12">
        <f>B2*$H$5+C2*$I$5</f>
        <v>12.106000000000002</v>
      </c>
      <c r="E2" s="12">
        <f>(B2+1.2)+(2*$K$5)</f>
        <v>7.42</v>
      </c>
    </row>
    <row r="3" spans="1:11" x14ac:dyDescent="0.25">
      <c r="A3" s="2" t="s">
        <v>21</v>
      </c>
      <c r="B3" s="2">
        <f>B2</f>
        <v>5.62</v>
      </c>
      <c r="C3" s="44">
        <v>2</v>
      </c>
      <c r="D3" s="12">
        <f t="shared" ref="D3:D12" si="0">B3*$H$5+C3*$I$5</f>
        <v>10.306000000000001</v>
      </c>
      <c r="E3" s="12">
        <f>B3+C3*$K$5</f>
        <v>6.22</v>
      </c>
    </row>
    <row r="4" spans="1:11" x14ac:dyDescent="0.25">
      <c r="A4" s="2" t="s">
        <v>22</v>
      </c>
      <c r="B4" s="2">
        <f>3.15+2.18</f>
        <v>5.33</v>
      </c>
      <c r="C4" s="12">
        <v>4</v>
      </c>
      <c r="D4" s="12">
        <f t="shared" si="0"/>
        <v>12.929</v>
      </c>
      <c r="E4" s="12">
        <f>B4+C4*$K$5</f>
        <v>6.53</v>
      </c>
      <c r="H4" s="6" t="s">
        <v>76</v>
      </c>
      <c r="I4" s="6" t="s">
        <v>77</v>
      </c>
      <c r="J4" s="6" t="s">
        <v>78</v>
      </c>
      <c r="K4" s="6" t="s">
        <v>80</v>
      </c>
    </row>
    <row r="5" spans="1:11" x14ac:dyDescent="0.25">
      <c r="A5" s="2" t="s">
        <v>23</v>
      </c>
      <c r="B5" s="13">
        <v>5</v>
      </c>
      <c r="C5" s="12">
        <v>4</v>
      </c>
      <c r="D5" s="12">
        <f t="shared" si="0"/>
        <v>12.5</v>
      </c>
      <c r="E5" s="12">
        <v>7.4</v>
      </c>
      <c r="H5" s="5">
        <v>1.3</v>
      </c>
      <c r="I5" s="5">
        <v>1.5</v>
      </c>
      <c r="J5" s="5">
        <v>1.5</v>
      </c>
      <c r="K5" s="5">
        <v>0.3</v>
      </c>
    </row>
    <row r="6" spans="1:11" x14ac:dyDescent="0.25">
      <c r="A6" s="2" t="s">
        <v>24</v>
      </c>
      <c r="B6" s="12">
        <v>10.09</v>
      </c>
      <c r="C6" s="12">
        <v>0</v>
      </c>
      <c r="D6" s="12">
        <f t="shared" si="0"/>
        <v>13.117000000000001</v>
      </c>
      <c r="E6" s="12">
        <f>B6+C6*$K$5</f>
        <v>10.09</v>
      </c>
      <c r="H6" s="6"/>
      <c r="I6" s="6"/>
      <c r="J6" s="6"/>
      <c r="K6" s="6"/>
    </row>
    <row r="7" spans="1:11" x14ac:dyDescent="0.25">
      <c r="A7" s="14" t="s">
        <v>271</v>
      </c>
      <c r="B7" s="2">
        <v>3.75</v>
      </c>
      <c r="C7" s="12">
        <v>0</v>
      </c>
      <c r="D7" s="12">
        <f t="shared" si="0"/>
        <v>4.875</v>
      </c>
      <c r="E7" s="12">
        <f>B7+C7*$K$5</f>
        <v>3.75</v>
      </c>
      <c r="H7" s="6" t="s">
        <v>28</v>
      </c>
      <c r="I7" s="6">
        <v>7</v>
      </c>
      <c r="J7" s="6"/>
      <c r="K7" s="6"/>
    </row>
    <row r="8" spans="1:11" x14ac:dyDescent="0.25">
      <c r="A8" s="2" t="s">
        <v>270</v>
      </c>
      <c r="B8" s="2">
        <v>4.0999999999999996</v>
      </c>
      <c r="C8" s="12">
        <v>0</v>
      </c>
      <c r="D8" s="12">
        <f>B8*$H$5+C8*$I$5</f>
        <v>5.33</v>
      </c>
      <c r="E8" s="12">
        <f>B8+C8*$K$5</f>
        <v>4.0999999999999996</v>
      </c>
      <c r="H8" s="6"/>
      <c r="I8" s="6"/>
      <c r="J8" s="6"/>
      <c r="K8" s="6"/>
    </row>
    <row r="9" spans="1:11" x14ac:dyDescent="0.25">
      <c r="A9" s="2" t="s">
        <v>26</v>
      </c>
      <c r="B9" s="2">
        <v>14.18</v>
      </c>
      <c r="C9" s="12">
        <v>0</v>
      </c>
      <c r="D9" s="12">
        <f t="shared" si="0"/>
        <v>18.434000000000001</v>
      </c>
      <c r="E9" s="12">
        <f>B9+C9*$K$5</f>
        <v>14.18</v>
      </c>
      <c r="H9" s="6"/>
      <c r="I9" s="6"/>
      <c r="J9" s="6"/>
      <c r="K9" s="6"/>
    </row>
    <row r="10" spans="1:11" x14ac:dyDescent="0.25">
      <c r="A10" s="2" t="s">
        <v>269</v>
      </c>
      <c r="B10" s="2">
        <v>1.2</v>
      </c>
      <c r="C10" s="2">
        <v>0</v>
      </c>
      <c r="D10" s="2">
        <f t="shared" si="0"/>
        <v>1.56</v>
      </c>
      <c r="E10" s="2">
        <f>B10+C10*$K$5</f>
        <v>1.2</v>
      </c>
      <c r="H10" s="6"/>
      <c r="I10" s="6"/>
      <c r="J10" s="6"/>
      <c r="K10" s="6"/>
    </row>
    <row r="11" spans="1:11" x14ac:dyDescent="0.25">
      <c r="A11" s="102" t="s">
        <v>280</v>
      </c>
      <c r="B11" s="2">
        <f>3.9</f>
        <v>3.9</v>
      </c>
      <c r="C11" s="2">
        <f>0.5</f>
        <v>0.5</v>
      </c>
      <c r="D11" s="2">
        <f t="shared" si="0"/>
        <v>5.82</v>
      </c>
      <c r="E11" s="2">
        <v>3.9</v>
      </c>
      <c r="H11" s="6" t="s">
        <v>29</v>
      </c>
      <c r="I11" s="6"/>
      <c r="J11" s="5" t="s">
        <v>272</v>
      </c>
      <c r="K11" s="6"/>
    </row>
    <row r="12" spans="1:11" x14ac:dyDescent="0.25">
      <c r="A12" s="102" t="s">
        <v>397</v>
      </c>
      <c r="B12" s="128">
        <f>[1]Foglio1!$E$176</f>
        <v>5.1269999999999998</v>
      </c>
      <c r="C12" s="128">
        <f>0.5+2.44</f>
        <v>2.94</v>
      </c>
      <c r="D12" s="12">
        <f t="shared" si="0"/>
        <v>11.075099999999999</v>
      </c>
      <c r="E12" s="12">
        <f>(B12+0.5)+2.44*$K$5</f>
        <v>6.359</v>
      </c>
    </row>
    <row r="13" spans="1:11" x14ac:dyDescent="0.25">
      <c r="A13" s="14" t="s">
        <v>392</v>
      </c>
      <c r="B13" s="2">
        <v>3.05</v>
      </c>
      <c r="C13" s="12">
        <v>0</v>
      </c>
      <c r="D13" s="12">
        <f t="shared" ref="D13" si="1">B13*$H$5+C13*$I$5</f>
        <v>3.9649999999999999</v>
      </c>
      <c r="E13" s="12">
        <f>B13+C13*$K$5</f>
        <v>3.05</v>
      </c>
    </row>
    <row r="14" spans="1:11" x14ac:dyDescent="0.25">
      <c r="A14" s="2" t="s">
        <v>41</v>
      </c>
      <c r="B14" s="2">
        <v>3.35</v>
      </c>
      <c r="C14" s="12">
        <v>0</v>
      </c>
      <c r="D14" s="12">
        <f>B14*$H$5+C14*$I$5</f>
        <v>4.3550000000000004</v>
      </c>
      <c r="E14" s="12">
        <f>B14+C14*$K$5</f>
        <v>3.35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="89" zoomScaleNormal="89" workbookViewId="0">
      <selection activeCell="E12" sqref="E12"/>
    </sheetView>
  </sheetViews>
  <sheetFormatPr defaultRowHeight="15" x14ac:dyDescent="0.25"/>
  <cols>
    <col min="1" max="1" width="20.28515625" customWidth="1"/>
    <col min="2" max="2" width="14.85546875" customWidth="1"/>
    <col min="3" max="3" width="11" customWidth="1"/>
    <col min="4" max="4" width="11.7109375" customWidth="1"/>
    <col min="5" max="5" width="16.85546875" customWidth="1"/>
    <col min="6" max="6" width="20.28515625" customWidth="1"/>
    <col min="7" max="7" width="14.85546875" customWidth="1"/>
  </cols>
  <sheetData>
    <row r="1" spans="1:8" x14ac:dyDescent="0.25">
      <c r="A1" s="98" t="s">
        <v>260</v>
      </c>
      <c r="B1" s="98" t="s">
        <v>265</v>
      </c>
      <c r="C1" s="98" t="s">
        <v>266</v>
      </c>
      <c r="F1" s="98" t="s">
        <v>278</v>
      </c>
      <c r="G1" s="98" t="s">
        <v>279</v>
      </c>
      <c r="H1" s="98" t="s">
        <v>266</v>
      </c>
    </row>
    <row r="2" spans="1:8" x14ac:dyDescent="0.25">
      <c r="A2" s="98" t="s">
        <v>261</v>
      </c>
      <c r="B2" s="136">
        <f>472.3-20.16</f>
        <v>452.14</v>
      </c>
      <c r="C2" s="136">
        <f>B2*'carichi unitari 2'!E3</f>
        <v>2812.3107999999997</v>
      </c>
      <c r="F2" s="98" t="s">
        <v>45</v>
      </c>
      <c r="G2" s="136">
        <f>B2</f>
        <v>452.14</v>
      </c>
      <c r="H2" s="136">
        <f>C2</f>
        <v>2812.3107999999997</v>
      </c>
    </row>
    <row r="3" spans="1:8" x14ac:dyDescent="0.25">
      <c r="A3" s="98" t="s">
        <v>262</v>
      </c>
      <c r="B3" s="136">
        <v>102.8</v>
      </c>
      <c r="C3" s="137">
        <f>'carichi unitari 2'!E4*B3</f>
        <v>671.28399999999999</v>
      </c>
      <c r="F3" s="98" t="s">
        <v>23</v>
      </c>
      <c r="G3" s="136">
        <f>B4</f>
        <v>20.16</v>
      </c>
      <c r="H3" s="137">
        <f>C4</f>
        <v>149.184</v>
      </c>
    </row>
    <row r="4" spans="1:8" x14ac:dyDescent="0.25">
      <c r="A4" s="98" t="s">
        <v>263</v>
      </c>
      <c r="B4" s="136">
        <v>20.16</v>
      </c>
      <c r="C4" s="136">
        <f>B4*'carichi unitari 2'!E5</f>
        <v>149.184</v>
      </c>
      <c r="F4" s="98" t="s">
        <v>264</v>
      </c>
      <c r="G4" s="136">
        <f>B5</f>
        <v>150.69</v>
      </c>
      <c r="H4" s="136">
        <f>C5</f>
        <v>617.82899999999995</v>
      </c>
    </row>
    <row r="5" spans="1:8" x14ac:dyDescent="0.25">
      <c r="A5" s="98" t="s">
        <v>264</v>
      </c>
      <c r="B5" s="136">
        <v>150.69</v>
      </c>
      <c r="C5" s="136">
        <f>B5*'carichi unitari 2'!E8</f>
        <v>617.82899999999995</v>
      </c>
      <c r="F5" s="98" t="s">
        <v>267</v>
      </c>
      <c r="G5" s="136">
        <f>B6</f>
        <v>72.73</v>
      </c>
      <c r="H5" s="136">
        <f t="shared" ref="H5:H8" si="0">C6</f>
        <v>272.73750000000001</v>
      </c>
    </row>
    <row r="6" spans="1:8" x14ac:dyDescent="0.25">
      <c r="A6" s="98" t="s">
        <v>267</v>
      </c>
      <c r="B6" s="136">
        <v>72.73</v>
      </c>
      <c r="C6" s="138">
        <f>B6*'carichi unitari 2'!E7</f>
        <v>272.73750000000001</v>
      </c>
      <c r="F6" s="98" t="s">
        <v>268</v>
      </c>
      <c r="G6" s="136">
        <f>B7</f>
        <v>27</v>
      </c>
      <c r="H6" s="136">
        <f t="shared" si="0"/>
        <v>382.86</v>
      </c>
    </row>
    <row r="7" spans="1:8" x14ac:dyDescent="0.25">
      <c r="A7" s="98" t="s">
        <v>268</v>
      </c>
      <c r="B7" s="136">
        <v>27</v>
      </c>
      <c r="C7" s="136">
        <f>27*'carichi unitari 2'!E9</f>
        <v>382.86</v>
      </c>
      <c r="F7" s="98" t="s">
        <v>269</v>
      </c>
      <c r="G7" s="136">
        <f>B8</f>
        <v>130.32000000000002</v>
      </c>
      <c r="H7" s="136">
        <f t="shared" si="0"/>
        <v>156.38400000000001</v>
      </c>
    </row>
    <row r="8" spans="1:8" x14ac:dyDescent="0.25">
      <c r="A8" s="98" t="s">
        <v>269</v>
      </c>
      <c r="B8" s="136">
        <f>162.9*0.8</f>
        <v>130.32000000000002</v>
      </c>
      <c r="C8" s="136">
        <f>B8*'carichi unitari 2'!E10</f>
        <v>156.38400000000001</v>
      </c>
      <c r="F8" s="98" t="s">
        <v>55</v>
      </c>
      <c r="G8" s="136">
        <f>B9</f>
        <v>89.73</v>
      </c>
      <c r="H8" s="136">
        <f t="shared" si="0"/>
        <v>905.37570000000005</v>
      </c>
    </row>
    <row r="9" spans="1:8" x14ac:dyDescent="0.25">
      <c r="A9" s="98" t="s">
        <v>55</v>
      </c>
      <c r="B9" s="136">
        <f>99.7*0.9</f>
        <v>89.73</v>
      </c>
      <c r="C9" s="136">
        <f>B9*'carichi unitari 2'!E6</f>
        <v>905.37570000000005</v>
      </c>
      <c r="D9" s="101"/>
      <c r="F9" s="98"/>
      <c r="G9" s="98"/>
      <c r="H9" s="98"/>
    </row>
    <row r="10" spans="1:8" x14ac:dyDescent="0.25">
      <c r="A10" s="98"/>
      <c r="B10" s="98"/>
      <c r="C10" s="98"/>
      <c r="F10" s="98"/>
      <c r="G10" s="98"/>
      <c r="H10" s="98"/>
    </row>
    <row r="11" spans="1:8" x14ac:dyDescent="0.25">
      <c r="A11" s="98"/>
      <c r="B11" s="98"/>
      <c r="C11" s="98"/>
      <c r="F11" s="98"/>
      <c r="G11" s="98"/>
      <c r="H11" s="98"/>
    </row>
    <row r="12" spans="1:8" x14ac:dyDescent="0.25">
      <c r="A12" s="98"/>
      <c r="B12" s="98" t="s">
        <v>273</v>
      </c>
      <c r="C12" s="139">
        <f>SUM(C2:C9)</f>
        <v>5967.9650000000001</v>
      </c>
      <c r="F12" s="98"/>
      <c r="G12" s="140" t="s">
        <v>273</v>
      </c>
      <c r="H12" s="141">
        <f>SUM(H2:H8)</f>
        <v>5296.6810000000005</v>
      </c>
    </row>
    <row r="13" spans="1:8" x14ac:dyDescent="0.25">
      <c r="A13" s="98"/>
      <c r="B13" s="98" t="s">
        <v>274</v>
      </c>
      <c r="C13" s="139">
        <f>C12/9.81</f>
        <v>608.35524974515795</v>
      </c>
      <c r="F13" s="98"/>
      <c r="G13" s="140" t="s">
        <v>398</v>
      </c>
      <c r="H13" s="141">
        <f>H12/9.81</f>
        <v>539.92670744138638</v>
      </c>
    </row>
    <row r="14" spans="1:8" x14ac:dyDescent="0.25">
      <c r="A14" s="98"/>
      <c r="B14" s="98" t="s">
        <v>275</v>
      </c>
      <c r="C14" s="139">
        <f>'masse e forze'!B5</f>
        <v>575.1</v>
      </c>
      <c r="F14" s="98"/>
      <c r="G14" s="140" t="s">
        <v>275</v>
      </c>
      <c r="H14" s="141">
        <f>'masse e forze'!B7</f>
        <v>472.3</v>
      </c>
    </row>
    <row r="15" spans="1:8" x14ac:dyDescent="0.25">
      <c r="A15" s="98"/>
      <c r="B15" s="98" t="s">
        <v>276</v>
      </c>
      <c r="C15" s="139">
        <f>C12/C14</f>
        <v>10.377264823508956</v>
      </c>
      <c r="F15" s="98"/>
      <c r="G15" s="140" t="s">
        <v>276</v>
      </c>
      <c r="H15" s="141">
        <f>H12/H14</f>
        <v>11.214653821723482</v>
      </c>
    </row>
    <row r="20" spans="1:3" x14ac:dyDescent="0.25">
      <c r="A20" s="98" t="s">
        <v>277</v>
      </c>
      <c r="B20" s="98" t="s">
        <v>279</v>
      </c>
      <c r="C20" s="98" t="s">
        <v>266</v>
      </c>
    </row>
    <row r="21" spans="1:3" x14ac:dyDescent="0.25">
      <c r="A21" s="98" t="s">
        <v>437</v>
      </c>
      <c r="B21" s="142">
        <f>B2+B4</f>
        <v>472.3</v>
      </c>
      <c r="C21" s="153">
        <f>B21*6.36</f>
        <v>3003.8280000000004</v>
      </c>
    </row>
    <row r="22" spans="1:3" x14ac:dyDescent="0.25">
      <c r="A22" s="98" t="s">
        <v>280</v>
      </c>
      <c r="B22" s="142">
        <v>30.14</v>
      </c>
      <c r="C22" s="142">
        <f>B22*'carichi unitari 2'!E11</f>
        <v>117.54600000000001</v>
      </c>
    </row>
    <row r="23" spans="1:3" x14ac:dyDescent="0.25">
      <c r="A23" s="98" t="s">
        <v>393</v>
      </c>
      <c r="B23" s="142">
        <f>B5</f>
        <v>150.69</v>
      </c>
      <c r="C23" s="142">
        <f>'carichi unitari 2'!E14*'masse precise'!B23</f>
        <v>504.81150000000002</v>
      </c>
    </row>
    <row r="24" spans="1:3" x14ac:dyDescent="0.25">
      <c r="A24" s="98" t="s">
        <v>394</v>
      </c>
      <c r="B24" s="142">
        <f t="shared" ref="B24" si="1">B6</f>
        <v>72.73</v>
      </c>
      <c r="C24" s="142">
        <f>B24*'carichi unitari 2'!B13</f>
        <v>221.82650000000001</v>
      </c>
    </row>
    <row r="25" spans="1:3" x14ac:dyDescent="0.25">
      <c r="A25" s="98" t="s">
        <v>438</v>
      </c>
      <c r="B25" s="142">
        <v>17</v>
      </c>
      <c r="C25" s="142">
        <f>12.15*B25</f>
        <v>206.55</v>
      </c>
    </row>
    <row r="26" spans="1:3" x14ac:dyDescent="0.25">
      <c r="A26" s="98" t="s">
        <v>55</v>
      </c>
      <c r="B26" s="142">
        <f>B9/2</f>
        <v>44.865000000000002</v>
      </c>
      <c r="C26" s="142">
        <f>C9/2</f>
        <v>452.68785000000003</v>
      </c>
    </row>
    <row r="28" spans="1:3" x14ac:dyDescent="0.25">
      <c r="A28" s="98"/>
      <c r="B28" s="98"/>
      <c r="C28" s="98"/>
    </row>
    <row r="29" spans="1:3" x14ac:dyDescent="0.25">
      <c r="A29" s="98"/>
      <c r="B29" s="98" t="s">
        <v>273</v>
      </c>
      <c r="C29" s="143">
        <f>SUM(C21:C26)</f>
        <v>4507.2498500000011</v>
      </c>
    </row>
    <row r="30" spans="1:3" x14ac:dyDescent="0.25">
      <c r="A30" s="98"/>
      <c r="B30" s="98" t="s">
        <v>399</v>
      </c>
      <c r="C30" s="143">
        <f>C29/9.81</f>
        <v>459.45462283384308</v>
      </c>
    </row>
    <row r="31" spans="1:3" x14ac:dyDescent="0.25">
      <c r="A31" s="98"/>
      <c r="B31" s="98" t="s">
        <v>275</v>
      </c>
      <c r="C31" s="98">
        <f>'masse e forze'!B2</f>
        <v>502.5</v>
      </c>
    </row>
    <row r="32" spans="1:3" x14ac:dyDescent="0.25">
      <c r="A32" s="98"/>
      <c r="B32" s="98" t="s">
        <v>276</v>
      </c>
      <c r="C32" s="144">
        <f>C29/C31</f>
        <v>8.9696514427860716</v>
      </c>
    </row>
    <row r="35" spans="1:5" x14ac:dyDescent="0.25">
      <c r="A35" s="98" t="s">
        <v>281</v>
      </c>
      <c r="B35" s="98" t="s">
        <v>285</v>
      </c>
      <c r="C35" s="98"/>
      <c r="D35" s="98"/>
      <c r="E35" s="98"/>
    </row>
    <row r="36" spans="1:5" x14ac:dyDescent="0.25">
      <c r="A36" s="98" t="s">
        <v>0</v>
      </c>
      <c r="B36" s="98" t="s">
        <v>284</v>
      </c>
      <c r="C36" s="98" t="s">
        <v>276</v>
      </c>
      <c r="D36" s="98" t="s">
        <v>282</v>
      </c>
      <c r="E36" s="98" t="s">
        <v>283</v>
      </c>
    </row>
    <row r="37" spans="1:5" x14ac:dyDescent="0.25">
      <c r="A37" s="99">
        <v>6</v>
      </c>
      <c r="B37" s="146">
        <f>C29</f>
        <v>4507.2498500000011</v>
      </c>
      <c r="C37" s="145">
        <f>C32</f>
        <v>8.9696514427860716</v>
      </c>
      <c r="D37" s="155">
        <f>(C31*9)</f>
        <v>4522.5</v>
      </c>
      <c r="E37" s="141">
        <v>9</v>
      </c>
    </row>
    <row r="38" spans="1:5" x14ac:dyDescent="0.25">
      <c r="A38" s="99">
        <v>5</v>
      </c>
      <c r="B38" s="146">
        <f>$C$12</f>
        <v>5967.9650000000001</v>
      </c>
      <c r="C38" s="145">
        <f>$C$15</f>
        <v>10.377264823508956</v>
      </c>
      <c r="D38" s="155">
        <f>(C14*10)</f>
        <v>5751</v>
      </c>
      <c r="E38" s="99">
        <f>10</f>
        <v>10</v>
      </c>
    </row>
    <row r="39" spans="1:5" x14ac:dyDescent="0.25">
      <c r="A39" s="99">
        <v>4</v>
      </c>
      <c r="B39" s="146">
        <f t="shared" ref="B39:B41" si="2">$C$12</f>
        <v>5967.9650000000001</v>
      </c>
      <c r="C39" s="145">
        <f t="shared" ref="C39:C41" si="3">$C$15</f>
        <v>10.377264823508956</v>
      </c>
      <c r="D39" s="155">
        <v>5751</v>
      </c>
      <c r="E39" s="99">
        <f>$E$38</f>
        <v>10</v>
      </c>
    </row>
    <row r="40" spans="1:5" x14ac:dyDescent="0.25">
      <c r="A40" s="99">
        <v>3</v>
      </c>
      <c r="B40" s="146">
        <f t="shared" si="2"/>
        <v>5967.9650000000001</v>
      </c>
      <c r="C40" s="145">
        <f t="shared" si="3"/>
        <v>10.377264823508956</v>
      </c>
      <c r="D40" s="155">
        <v>5751</v>
      </c>
      <c r="E40" s="99">
        <f t="shared" ref="E40:E42" si="4">$E$38</f>
        <v>10</v>
      </c>
    </row>
    <row r="41" spans="1:5" x14ac:dyDescent="0.25">
      <c r="A41" s="99">
        <v>2</v>
      </c>
      <c r="B41" s="146">
        <f t="shared" si="2"/>
        <v>5967.9650000000001</v>
      </c>
      <c r="C41" s="145">
        <f t="shared" si="3"/>
        <v>10.377264823508956</v>
      </c>
      <c r="D41" s="155">
        <v>5751</v>
      </c>
      <c r="E41" s="99">
        <f t="shared" si="4"/>
        <v>10</v>
      </c>
    </row>
    <row r="42" spans="1:5" x14ac:dyDescent="0.25">
      <c r="A42" s="99">
        <v>1</v>
      </c>
      <c r="B42" s="147">
        <f>H12</f>
        <v>5296.6810000000005</v>
      </c>
      <c r="C42" s="154">
        <f>H15</f>
        <v>11.214653821723482</v>
      </c>
      <c r="D42" s="155">
        <v>4723</v>
      </c>
      <c r="E42" s="99">
        <f t="shared" si="4"/>
        <v>10</v>
      </c>
    </row>
    <row r="43" spans="1:5" x14ac:dyDescent="0.25">
      <c r="A43" s="7"/>
      <c r="B43" s="7"/>
      <c r="C43" s="7"/>
      <c r="D43" s="7"/>
      <c r="E43" s="7"/>
    </row>
    <row r="44" spans="1:5" x14ac:dyDescent="0.25">
      <c r="A44" s="7"/>
      <c r="B44" s="148">
        <f>SUM(B37:B42)</f>
        <v>33675.790850000005</v>
      </c>
      <c r="C44" s="7"/>
      <c r="D44" s="7"/>
      <c r="E44" s="7"/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opLeftCell="A76" zoomScale="69" zoomScaleNormal="69" workbookViewId="0">
      <selection activeCell="E115" sqref="E115"/>
    </sheetView>
  </sheetViews>
  <sheetFormatPr defaultRowHeight="15" x14ac:dyDescent="0.25"/>
  <cols>
    <col min="1" max="1" width="24.28515625" customWidth="1"/>
    <col min="2" max="2" width="24.5703125" customWidth="1"/>
    <col min="3" max="4" width="18.42578125" customWidth="1"/>
    <col min="5" max="5" width="23.42578125" customWidth="1"/>
    <col min="6" max="6" width="26.140625" customWidth="1"/>
    <col min="8" max="8" width="19.85546875" customWidth="1"/>
    <col min="9" max="9" width="15.140625" customWidth="1"/>
    <col min="10" max="10" width="13.42578125" customWidth="1"/>
  </cols>
  <sheetData>
    <row r="1" spans="1:9" x14ac:dyDescent="0.25">
      <c r="A1" s="126" t="s">
        <v>290</v>
      </c>
      <c r="B1" s="126" t="s">
        <v>18</v>
      </c>
      <c r="C1" s="126" t="s">
        <v>294</v>
      </c>
      <c r="D1" s="126" t="s">
        <v>296</v>
      </c>
      <c r="E1" s="126" t="s">
        <v>288</v>
      </c>
      <c r="F1" s="126" t="s">
        <v>287</v>
      </c>
    </row>
    <row r="2" spans="1:9" x14ac:dyDescent="0.25">
      <c r="A2" s="124" t="s">
        <v>297</v>
      </c>
      <c r="B2" s="124"/>
      <c r="C2" s="124" t="s">
        <v>299</v>
      </c>
      <c r="H2" t="s">
        <v>291</v>
      </c>
      <c r="I2" t="s">
        <v>50</v>
      </c>
    </row>
    <row r="3" spans="1:9" x14ac:dyDescent="0.25">
      <c r="A3" t="s">
        <v>45</v>
      </c>
      <c r="B3">
        <f>'carichi unitari 2'!B2*H3</f>
        <v>2.81</v>
      </c>
      <c r="C3">
        <f>1.2*H3</f>
        <v>0.6</v>
      </c>
      <c r="D3">
        <f>2*H3</f>
        <v>1</v>
      </c>
      <c r="E3">
        <f>B3*1.3+C3*1.5+D3*1.5</f>
        <v>6.0529999999999999</v>
      </c>
      <c r="F3">
        <f>(B3+C3)+0.3*D3</f>
        <v>3.71</v>
      </c>
      <c r="H3">
        <v>0.5</v>
      </c>
      <c r="I3">
        <v>1</v>
      </c>
    </row>
    <row r="4" spans="1:9" x14ac:dyDescent="0.25">
      <c r="A4" t="s">
        <v>55</v>
      </c>
      <c r="B4">
        <f>0.8*'carichi unitari 2'!B6</f>
        <v>8.072000000000001</v>
      </c>
      <c r="C4">
        <v>0</v>
      </c>
      <c r="D4">
        <v>0</v>
      </c>
      <c r="E4">
        <f t="shared" ref="E4:E5" si="0">B4*1.3+C4*1.5+D4*1.5</f>
        <v>10.493600000000002</v>
      </c>
      <c r="F4">
        <f t="shared" ref="F4:F5" si="1">(B4+C4)+0.3*D4</f>
        <v>8.072000000000001</v>
      </c>
    </row>
    <row r="5" spans="1:9" x14ac:dyDescent="0.25">
      <c r="A5" t="s">
        <v>289</v>
      </c>
      <c r="B5">
        <f>'carichi unitari 2'!B8</f>
        <v>4.0999999999999996</v>
      </c>
      <c r="D5">
        <v>0</v>
      </c>
      <c r="E5">
        <f t="shared" si="0"/>
        <v>5.33</v>
      </c>
      <c r="F5">
        <f t="shared" si="1"/>
        <v>4.0999999999999996</v>
      </c>
    </row>
    <row r="6" spans="1:9" x14ac:dyDescent="0.25">
      <c r="A6" t="s">
        <v>30</v>
      </c>
      <c r="E6">
        <f>SUM(E3:E5)</f>
        <v>21.876600000000003</v>
      </c>
      <c r="F6">
        <f>SUM(F3:F5)</f>
        <v>15.882</v>
      </c>
    </row>
    <row r="8" spans="1:9" x14ac:dyDescent="0.25">
      <c r="A8" s="124" t="s">
        <v>298</v>
      </c>
      <c r="B8" s="124"/>
    </row>
    <row r="9" spans="1:9" x14ac:dyDescent="0.25">
      <c r="A9" t="s">
        <v>292</v>
      </c>
      <c r="B9">
        <f>'carichi unitari 2'!B2*H9*I9</f>
        <v>3.0910000000000002</v>
      </c>
      <c r="C9">
        <f>'carichi unitari 2'!B10*'carichi su travi 1 impalcato'!H9*'carichi su travi 1 impalcato'!I9</f>
        <v>0.66</v>
      </c>
      <c r="D9">
        <f>'carichi unitari 2'!C3*'carichi su travi 1 impalcato'!H9*'carichi su travi 1 impalcato'!I9</f>
        <v>1.1000000000000001</v>
      </c>
      <c r="E9">
        <f>B9*1.3+(C9+D9)*1.5</f>
        <v>6.6583000000000006</v>
      </c>
      <c r="F9">
        <f>(B9+C9)+0.3*D9</f>
        <v>4.0810000000000004</v>
      </c>
      <c r="H9">
        <v>0.5</v>
      </c>
      <c r="I9">
        <v>1.1000000000000001</v>
      </c>
    </row>
    <row r="10" spans="1:9" x14ac:dyDescent="0.25">
      <c r="A10" t="s">
        <v>293</v>
      </c>
      <c r="B10">
        <f>'carichi unitari 2'!B2*H9*I9</f>
        <v>3.0910000000000002</v>
      </c>
      <c r="C10">
        <v>0.66</v>
      </c>
      <c r="D10">
        <v>1.1000000000000001</v>
      </c>
      <c r="E10">
        <f>B10*1.3+(C10+D10)*1.5</f>
        <v>6.6583000000000006</v>
      </c>
      <c r="F10">
        <f t="shared" ref="F10" si="2">(B10+C10)+0.3*D10</f>
        <v>4.0810000000000004</v>
      </c>
      <c r="H10">
        <v>0.5</v>
      </c>
    </row>
    <row r="11" spans="1:9" x14ac:dyDescent="0.25">
      <c r="A11" t="s">
        <v>295</v>
      </c>
      <c r="B11">
        <f>'carichi unitari 2'!B7</f>
        <v>3.75</v>
      </c>
      <c r="C11">
        <v>0</v>
      </c>
      <c r="D11">
        <v>0</v>
      </c>
      <c r="E11">
        <f>B11*1.3+D11*1.5</f>
        <v>4.875</v>
      </c>
      <c r="F11">
        <f>(B11+C11)+0.3*D11</f>
        <v>3.75</v>
      </c>
    </row>
    <row r="12" spans="1:9" x14ac:dyDescent="0.25">
      <c r="A12" t="s">
        <v>30</v>
      </c>
      <c r="E12">
        <f>SUM(E9:E11)</f>
        <v>18.191600000000001</v>
      </c>
      <c r="F12">
        <f>SUM(F9:F11)</f>
        <v>11.912000000000001</v>
      </c>
    </row>
    <row r="15" spans="1:9" x14ac:dyDescent="0.25">
      <c r="A15" s="124" t="s">
        <v>301</v>
      </c>
    </row>
    <row r="16" spans="1:9" x14ac:dyDescent="0.25">
      <c r="A16" t="s">
        <v>292</v>
      </c>
      <c r="B16">
        <f>'carichi unitari 2'!B2*H16*I16</f>
        <v>2.81</v>
      </c>
      <c r="C16">
        <f>'carichi unitari 2'!B10*H16*I16</f>
        <v>0.6</v>
      </c>
      <c r="D16">
        <f>'carichi unitari 2'!C3*'carichi su travi 1 impalcato'!H16*'carichi su travi 1 impalcato'!I16</f>
        <v>1</v>
      </c>
      <c r="E16">
        <f>1.3*B16+(C16+D16)*1.5</f>
        <v>6.0530000000000008</v>
      </c>
      <c r="F16">
        <f>(B16+C16)+0.3*D16</f>
        <v>3.71</v>
      </c>
      <c r="H16">
        <v>0.5</v>
      </c>
      <c r="I16">
        <v>1</v>
      </c>
    </row>
    <row r="17" spans="1:9" x14ac:dyDescent="0.25">
      <c r="A17" t="s">
        <v>293</v>
      </c>
      <c r="B17">
        <f>B16</f>
        <v>2.81</v>
      </c>
      <c r="C17">
        <f>C16</f>
        <v>0.6</v>
      </c>
      <c r="D17">
        <f>D16</f>
        <v>1</v>
      </c>
      <c r="E17">
        <f>1.3*B17+(C17+D17)*1.5</f>
        <v>6.0530000000000008</v>
      </c>
      <c r="F17">
        <f>(B17+C17)+0.3*D17</f>
        <v>3.71</v>
      </c>
      <c r="H17">
        <v>0.5</v>
      </c>
    </row>
    <row r="18" spans="1:9" x14ac:dyDescent="0.25">
      <c r="A18" t="s">
        <v>295</v>
      </c>
      <c r="B18">
        <f>B11</f>
        <v>3.75</v>
      </c>
      <c r="C18">
        <v>0</v>
      </c>
      <c r="D18">
        <v>0</v>
      </c>
      <c r="E18">
        <f>1.3*B18+(C18+D18)*1.5</f>
        <v>4.875</v>
      </c>
      <c r="F18">
        <f>(B18+C18)+0.3*D18</f>
        <v>3.75</v>
      </c>
    </row>
    <row r="19" spans="1:9" x14ac:dyDescent="0.25">
      <c r="A19" t="s">
        <v>30</v>
      </c>
    </row>
    <row r="20" spans="1:9" x14ac:dyDescent="0.25">
      <c r="E20">
        <f>SUM(E16:E18)</f>
        <v>16.981000000000002</v>
      </c>
      <c r="F20">
        <f>SUM(F16:F18)</f>
        <v>11.17</v>
      </c>
    </row>
    <row r="22" spans="1:9" x14ac:dyDescent="0.25">
      <c r="A22" s="124" t="s">
        <v>300</v>
      </c>
    </row>
    <row r="23" spans="1:9" x14ac:dyDescent="0.25">
      <c r="A23" t="s">
        <v>292</v>
      </c>
      <c r="B23">
        <f>'carichi unitari 2'!B2*H23*I23</f>
        <v>2.81</v>
      </c>
      <c r="C23">
        <f>'carichi unitari 2'!B10*'carichi su travi 1 impalcato'!H23*'carichi su travi 1 impalcato'!I23</f>
        <v>0.6</v>
      </c>
      <c r="D23">
        <f>'carichi unitari 2'!C3*'carichi su travi 1 impalcato'!H23*'carichi su travi 1 impalcato'!I23</f>
        <v>1</v>
      </c>
      <c r="E23">
        <f>1.3*B23+(C23+D23)*1.5</f>
        <v>6.0530000000000008</v>
      </c>
      <c r="F23">
        <f>(B23+C23)+0.3*D23</f>
        <v>3.71</v>
      </c>
      <c r="H23">
        <v>0.5</v>
      </c>
      <c r="I23">
        <v>1</v>
      </c>
    </row>
    <row r="24" spans="1:9" x14ac:dyDescent="0.25">
      <c r="A24" t="s">
        <v>293</v>
      </c>
      <c r="B24">
        <f>B23</f>
        <v>2.81</v>
      </c>
      <c r="C24">
        <f>C23</f>
        <v>0.6</v>
      </c>
      <c r="D24">
        <f>D23</f>
        <v>1</v>
      </c>
      <c r="E24">
        <f t="shared" ref="E24:E25" si="3">1.3*B24+(C24+D24)*1.5</f>
        <v>6.0530000000000008</v>
      </c>
      <c r="F24">
        <f t="shared" ref="F24:F25" si="4">(B24+C24)+0.3*D24</f>
        <v>3.71</v>
      </c>
      <c r="H24">
        <v>0.5</v>
      </c>
    </row>
    <row r="25" spans="1:9" x14ac:dyDescent="0.25">
      <c r="A25" t="s">
        <v>289</v>
      </c>
      <c r="B25">
        <f>B5</f>
        <v>4.0999999999999996</v>
      </c>
      <c r="C25">
        <v>0</v>
      </c>
      <c r="D25">
        <v>0</v>
      </c>
      <c r="E25">
        <f t="shared" si="3"/>
        <v>5.33</v>
      </c>
      <c r="F25">
        <f t="shared" si="4"/>
        <v>4.0999999999999996</v>
      </c>
    </row>
    <row r="26" spans="1:9" x14ac:dyDescent="0.25">
      <c r="A26" t="s">
        <v>30</v>
      </c>
      <c r="E26">
        <f>SUM(E23:E25)</f>
        <v>17.436</v>
      </c>
      <c r="F26">
        <f>SUM(F23:F25)</f>
        <v>11.52</v>
      </c>
    </row>
    <row r="29" spans="1:9" x14ac:dyDescent="0.25">
      <c r="A29" s="124" t="s">
        <v>395</v>
      </c>
    </row>
    <row r="30" spans="1:9" x14ac:dyDescent="0.25">
      <c r="A30" t="s">
        <v>45</v>
      </c>
      <c r="B30">
        <f>'carichi unitari 2'!B2*H30</f>
        <v>2.81</v>
      </c>
      <c r="C30">
        <f>'carichi unitari 2'!B10*0.5</f>
        <v>0.6</v>
      </c>
      <c r="D30">
        <f>'carichi unitari 2'!C3*0.5</f>
        <v>1</v>
      </c>
      <c r="E30">
        <f>1.3*B30+(C30+D30)*1.5</f>
        <v>6.0530000000000008</v>
      </c>
      <c r="F30">
        <f>(B30+C30)+0.3*D30</f>
        <v>3.71</v>
      </c>
      <c r="H30">
        <v>0.5</v>
      </c>
      <c r="I30">
        <v>1</v>
      </c>
    </row>
    <row r="31" spans="1:9" x14ac:dyDescent="0.25">
      <c r="A31" t="s">
        <v>23</v>
      </c>
      <c r="B31">
        <f>'carichi unitari 2'!B5*H31</f>
        <v>27</v>
      </c>
      <c r="C31">
        <v>0</v>
      </c>
      <c r="D31">
        <f>4*H31</f>
        <v>21.6</v>
      </c>
      <c r="E31">
        <f t="shared" ref="E31:E32" si="5">1.3*B31+(C31+D31)*1.5</f>
        <v>67.5</v>
      </c>
      <c r="F31">
        <f t="shared" ref="F31:F32" si="6">(B31+C31)+0.3*D31</f>
        <v>33.480000000000004</v>
      </c>
      <c r="H31">
        <v>5.4</v>
      </c>
    </row>
    <row r="32" spans="1:9" x14ac:dyDescent="0.25">
      <c r="A32" t="s">
        <v>289</v>
      </c>
      <c r="B32">
        <f>'carichi unitari 2'!B8</f>
        <v>4.0999999999999996</v>
      </c>
      <c r="C32">
        <v>0</v>
      </c>
      <c r="D32">
        <v>0</v>
      </c>
      <c r="E32">
        <f t="shared" si="5"/>
        <v>5.33</v>
      </c>
      <c r="F32">
        <f t="shared" si="6"/>
        <v>4.0999999999999996</v>
      </c>
    </row>
    <row r="33" spans="1:9" x14ac:dyDescent="0.25">
      <c r="A33" t="s">
        <v>30</v>
      </c>
      <c r="E33">
        <f>SUM(E30:E32)</f>
        <v>78.882999999999996</v>
      </c>
      <c r="F33">
        <f>SUM(F30:F32)</f>
        <v>41.290000000000006</v>
      </c>
    </row>
    <row r="39" spans="1:9" x14ac:dyDescent="0.25">
      <c r="A39" s="124" t="s">
        <v>302</v>
      </c>
    </row>
    <row r="40" spans="1:9" x14ac:dyDescent="0.25">
      <c r="A40" t="s">
        <v>45</v>
      </c>
      <c r="B40">
        <f>'carichi unitari 2'!B2*'carichi su travi 1 impalcato'!H40</f>
        <v>2.81</v>
      </c>
      <c r="C40">
        <f>1.2*H40</f>
        <v>0.6</v>
      </c>
      <c r="D40">
        <f>2*H40</f>
        <v>1</v>
      </c>
      <c r="E40">
        <f>1.3*B40+(C40+D40)*1.5</f>
        <v>6.0530000000000008</v>
      </c>
      <c r="F40">
        <f>B40+C40+0.3*D40</f>
        <v>3.71</v>
      </c>
      <c r="H40">
        <v>0.5</v>
      </c>
      <c r="I40">
        <v>1</v>
      </c>
    </row>
    <row r="41" spans="1:9" x14ac:dyDescent="0.25">
      <c r="A41" t="s">
        <v>23</v>
      </c>
      <c r="B41">
        <f>'carichi unitari 2'!B5*'carichi su travi 1 impalcato'!H41</f>
        <v>10</v>
      </c>
      <c r="C41">
        <f>0</f>
        <v>0</v>
      </c>
      <c r="D41">
        <f>4*H41</f>
        <v>8</v>
      </c>
      <c r="E41">
        <f t="shared" ref="E41:E42" si="7">1.3*B41+(C41+D41)*1.5</f>
        <v>25</v>
      </c>
      <c r="F41">
        <f t="shared" ref="F41:F42" si="8">B41+C41+0.3*D41</f>
        <v>12.4</v>
      </c>
      <c r="H41">
        <v>2</v>
      </c>
    </row>
    <row r="42" spans="1:9" x14ac:dyDescent="0.25">
      <c r="A42" t="s">
        <v>307</v>
      </c>
      <c r="B42">
        <f>'carichi unitari 2'!B8</f>
        <v>4.0999999999999996</v>
      </c>
      <c r="C42">
        <v>0</v>
      </c>
      <c r="D42">
        <v>0</v>
      </c>
      <c r="E42">
        <f t="shared" si="7"/>
        <v>5.33</v>
      </c>
      <c r="F42">
        <f t="shared" si="8"/>
        <v>4.0999999999999996</v>
      </c>
    </row>
    <row r="43" spans="1:9" x14ac:dyDescent="0.25">
      <c r="E43">
        <f>SUM(E40:E42)</f>
        <v>36.383000000000003</v>
      </c>
      <c r="F43">
        <f>SUM(F40:F42)</f>
        <v>20.21</v>
      </c>
    </row>
    <row r="46" spans="1:9" x14ac:dyDescent="0.25">
      <c r="A46" s="124" t="s">
        <v>309</v>
      </c>
    </row>
    <row r="47" spans="1:9" x14ac:dyDescent="0.25">
      <c r="A47" t="s">
        <v>45</v>
      </c>
      <c r="B47">
        <f>'carichi unitari 2'!$B$2*H47*I47</f>
        <v>15.455</v>
      </c>
      <c r="C47">
        <f>'carichi unitari 2'!$B$10*'carichi su travi 1 impalcato'!H47*'carichi su travi 1 impalcato'!I47</f>
        <v>3.3</v>
      </c>
      <c r="D47">
        <f>'carichi unitari 2'!$C$3*'carichi su travi 1 impalcato'!H47*'carichi su travi 1 impalcato'!I47</f>
        <v>5.5</v>
      </c>
      <c r="E47">
        <f>1.3*B47+(C47+D47)*1.5</f>
        <v>33.291499999999999</v>
      </c>
      <c r="F47">
        <f>B47+C47+0.3*D47</f>
        <v>20.404999999999998</v>
      </c>
      <c r="H47">
        <f>5.5/2</f>
        <v>2.75</v>
      </c>
      <c r="I47">
        <v>1</v>
      </c>
    </row>
    <row r="48" spans="1:9" x14ac:dyDescent="0.25">
      <c r="A48" t="s">
        <v>55</v>
      </c>
      <c r="B48">
        <f>0.8*'carichi unitari 2'!$B$6</f>
        <v>8.072000000000001</v>
      </c>
      <c r="C48">
        <v>0</v>
      </c>
      <c r="D48">
        <v>0</v>
      </c>
      <c r="E48">
        <f>1.3*B48+(C48+D48)*1.5</f>
        <v>10.493600000000002</v>
      </c>
      <c r="F48">
        <f>B48+C48+0.3*D48</f>
        <v>8.072000000000001</v>
      </c>
    </row>
    <row r="49" spans="1:9" x14ac:dyDescent="0.25">
      <c r="A49" t="s">
        <v>289</v>
      </c>
      <c r="B49">
        <f>'carichi unitari 2'!$B$8</f>
        <v>4.0999999999999996</v>
      </c>
      <c r="C49">
        <v>0</v>
      </c>
      <c r="D49">
        <v>0</v>
      </c>
      <c r="E49">
        <f>1.3*B49+(C49+D49)*1.5</f>
        <v>5.33</v>
      </c>
      <c r="F49">
        <f>B49+C49+0.3*D49</f>
        <v>4.0999999999999996</v>
      </c>
    </row>
    <row r="50" spans="1:9" x14ac:dyDescent="0.25">
      <c r="A50" t="s">
        <v>30</v>
      </c>
    </row>
    <row r="51" spans="1:9" x14ac:dyDescent="0.25">
      <c r="E51">
        <f>SUM(E47:E49)</f>
        <v>49.115099999999998</v>
      </c>
      <c r="F51">
        <f>SUM(F47:F49)</f>
        <v>32.576999999999998</v>
      </c>
    </row>
    <row r="54" spans="1:9" x14ac:dyDescent="0.25">
      <c r="A54" s="124" t="s">
        <v>303</v>
      </c>
    </row>
    <row r="55" spans="1:9" x14ac:dyDescent="0.25">
      <c r="A55" t="s">
        <v>304</v>
      </c>
      <c r="B55">
        <f>'carichi unitari 2'!$B$2*H55*I55</f>
        <v>17.000500000000002</v>
      </c>
      <c r="C55">
        <f>'carichi unitari 2'!$B$10*'carichi su travi 1 impalcato'!H55*'carichi su travi 1 impalcato'!I55</f>
        <v>3.63</v>
      </c>
      <c r="D55">
        <f>'carichi unitari 2'!$C$3*'carichi su travi 1 impalcato'!H55*'carichi su travi 1 impalcato'!I55</f>
        <v>6.0500000000000007</v>
      </c>
      <c r="E55">
        <f t="shared" ref="E55:E57" si="9">1.3*B55+(C55+D55)*1.5</f>
        <v>36.620650000000005</v>
      </c>
      <c r="F55">
        <f t="shared" ref="F55:F57" si="10">B55+C55+0.3*D55</f>
        <v>22.445500000000003</v>
      </c>
      <c r="H55">
        <f>H47</f>
        <v>2.75</v>
      </c>
      <c r="I55">
        <v>1.1000000000000001</v>
      </c>
    </row>
    <row r="56" spans="1:9" x14ac:dyDescent="0.25">
      <c r="A56" t="s">
        <v>305</v>
      </c>
      <c r="B56">
        <f>'carichi unitari 2'!$B$2*H56*I55</f>
        <v>20.709700000000005</v>
      </c>
      <c r="C56">
        <f>'carichi unitari 2'!$B$10*'carichi su travi 1 impalcato'!H56*'carichi su travi 1 impalcato'!I55</f>
        <v>4.4219999999999997</v>
      </c>
      <c r="D56">
        <f>'carichi unitari 2'!$C$3*'carichi su travi 1 impalcato'!H56*'carichi su travi 1 impalcato'!I55</f>
        <v>7.370000000000001</v>
      </c>
      <c r="E56">
        <f t="shared" si="9"/>
        <v>44.610610000000008</v>
      </c>
      <c r="F56">
        <f t="shared" si="10"/>
        <v>27.342700000000008</v>
      </c>
      <c r="H56">
        <f>6.7/2</f>
        <v>3.35</v>
      </c>
    </row>
    <row r="57" spans="1:9" x14ac:dyDescent="0.25">
      <c r="A57" t="s">
        <v>306</v>
      </c>
      <c r="B57">
        <f>'carichi unitari 2'!$B$8</f>
        <v>4.0999999999999996</v>
      </c>
      <c r="C57">
        <f>0</f>
        <v>0</v>
      </c>
      <c r="D57">
        <v>0</v>
      </c>
      <c r="E57">
        <f t="shared" si="9"/>
        <v>5.33</v>
      </c>
      <c r="F57">
        <f t="shared" si="10"/>
        <v>4.0999999999999996</v>
      </c>
    </row>
    <row r="58" spans="1:9" x14ac:dyDescent="0.25">
      <c r="A58" t="s">
        <v>30</v>
      </c>
      <c r="E58">
        <f>SUM(E55:E57)</f>
        <v>86.561260000000019</v>
      </c>
      <c r="F58">
        <f>SUM(F55:F57)</f>
        <v>53.888200000000012</v>
      </c>
    </row>
    <row r="61" spans="1:9" x14ac:dyDescent="0.25">
      <c r="A61" s="124" t="s">
        <v>308</v>
      </c>
    </row>
    <row r="62" spans="1:9" x14ac:dyDescent="0.25">
      <c r="A62" t="s">
        <v>304</v>
      </c>
      <c r="B62">
        <f>'carichi unitari 2'!$B$2*H62*I62</f>
        <v>18.827000000000002</v>
      </c>
      <c r="C62">
        <f>'carichi unitari 2'!$B$10*'carichi su travi 1 impalcato'!H62*'carichi su travi 1 impalcato'!I62</f>
        <v>4.0199999999999996</v>
      </c>
      <c r="D62">
        <f>'carichi unitari 2'!$C$3*'carichi su travi 1 impalcato'!H62*'carichi su travi 1 impalcato'!I62</f>
        <v>6.7</v>
      </c>
      <c r="E62">
        <f t="shared" ref="E62:E64" si="11">1.3*B62+(C62+D62)*1.5</f>
        <v>40.555100000000003</v>
      </c>
      <c r="F62">
        <f t="shared" ref="F62:F64" si="12">B62+C62+0.3*D62</f>
        <v>24.856999999999999</v>
      </c>
      <c r="H62">
        <f>H56</f>
        <v>3.35</v>
      </c>
      <c r="I62">
        <v>1</v>
      </c>
    </row>
    <row r="63" spans="1:9" x14ac:dyDescent="0.25">
      <c r="A63" t="s">
        <v>305</v>
      </c>
      <c r="B63">
        <f>'carichi unitari 2'!$B$2*H63*I62</f>
        <v>15.174000000000001</v>
      </c>
      <c r="C63">
        <f>'carichi unitari 2'!$B$10*'carichi su travi 1 impalcato'!H63*'carichi su travi 1 impalcato'!I62</f>
        <v>3.24</v>
      </c>
      <c r="D63">
        <f>'carichi unitari 2'!$C$3*'carichi su travi 1 impalcato'!H63*'carichi su travi 1 impalcato'!I62</f>
        <v>5.4</v>
      </c>
      <c r="E63">
        <f t="shared" si="11"/>
        <v>32.686199999999999</v>
      </c>
      <c r="F63">
        <f t="shared" si="12"/>
        <v>20.034000000000002</v>
      </c>
      <c r="H63">
        <f>5.4/2</f>
        <v>2.7</v>
      </c>
    </row>
    <row r="64" spans="1:9" x14ac:dyDescent="0.25">
      <c r="A64" t="s">
        <v>306</v>
      </c>
      <c r="B64">
        <f>'carichi unitari 2'!$B$8</f>
        <v>4.0999999999999996</v>
      </c>
      <c r="C64">
        <f>0</f>
        <v>0</v>
      </c>
      <c r="D64">
        <v>0</v>
      </c>
      <c r="E64">
        <f t="shared" si="11"/>
        <v>5.33</v>
      </c>
      <c r="F64">
        <f t="shared" si="12"/>
        <v>4.0999999999999996</v>
      </c>
    </row>
    <row r="65" spans="1:9" x14ac:dyDescent="0.25">
      <c r="A65" t="s">
        <v>30</v>
      </c>
      <c r="E65">
        <f>SUM(E62:E64)</f>
        <v>78.571299999999994</v>
      </c>
      <c r="F65">
        <f>SUM(F62:F64)</f>
        <v>48.991000000000007</v>
      </c>
    </row>
    <row r="67" spans="1:9" x14ac:dyDescent="0.25">
      <c r="A67" s="124" t="s">
        <v>313</v>
      </c>
      <c r="B67" s="124"/>
    </row>
    <row r="68" spans="1:9" x14ac:dyDescent="0.25">
      <c r="A68" t="s">
        <v>304</v>
      </c>
      <c r="B68">
        <f>'carichi unitari 2'!$B$2*H68*I68</f>
        <v>16.691400000000002</v>
      </c>
      <c r="C68">
        <f>'carichi unitari 2'!$B$10*'carichi su travi 1 impalcato'!H68*'carichi su travi 1 impalcato'!I68</f>
        <v>3.5640000000000005</v>
      </c>
      <c r="D68">
        <f>'carichi unitari 2'!$C$3*'carichi su travi 1 impalcato'!H68*'carichi su travi 1 impalcato'!I68</f>
        <v>5.9400000000000013</v>
      </c>
      <c r="E68">
        <f t="shared" ref="E68:E70" si="13">1.3*B68+(C68+D68)*1.5</f>
        <v>35.954820000000005</v>
      </c>
      <c r="F68">
        <f t="shared" ref="F68:F70" si="14">B68+C68+0.3*D68</f>
        <v>22.037400000000002</v>
      </c>
      <c r="H68">
        <f>H63</f>
        <v>2.7</v>
      </c>
      <c r="I68">
        <v>1.1000000000000001</v>
      </c>
    </row>
    <row r="69" spans="1:9" x14ac:dyDescent="0.25">
      <c r="A69" t="s">
        <v>305</v>
      </c>
      <c r="B69">
        <f>'carichi unitari 2'!$B$2*H69*I68</f>
        <v>21.637000000000004</v>
      </c>
      <c r="C69">
        <f>'carichi unitari 2'!$B$10*'carichi su travi 1 impalcato'!H69*'carichi su travi 1 impalcato'!I68</f>
        <v>4.620000000000001</v>
      </c>
      <c r="D69">
        <f>'carichi unitari 2'!$C$3*'carichi su travi 1 impalcato'!H69*'carichi su travi 1 impalcato'!I68</f>
        <v>7.7000000000000011</v>
      </c>
      <c r="E69">
        <f t="shared" si="13"/>
        <v>46.608100000000007</v>
      </c>
      <c r="F69">
        <f t="shared" si="14"/>
        <v>28.567000000000004</v>
      </c>
      <c r="H69">
        <f>3.5</f>
        <v>3.5</v>
      </c>
    </row>
    <row r="70" spans="1:9" x14ac:dyDescent="0.25">
      <c r="A70" t="s">
        <v>306</v>
      </c>
      <c r="B70">
        <f>'carichi unitari 2'!$B$8</f>
        <v>4.0999999999999996</v>
      </c>
      <c r="C70">
        <f>0</f>
        <v>0</v>
      </c>
      <c r="D70">
        <v>0</v>
      </c>
      <c r="E70">
        <f t="shared" si="13"/>
        <v>5.33</v>
      </c>
      <c r="F70">
        <f t="shared" si="14"/>
        <v>4.0999999999999996</v>
      </c>
    </row>
    <row r="71" spans="1:9" x14ac:dyDescent="0.25">
      <c r="A71" t="s">
        <v>30</v>
      </c>
      <c r="E71">
        <f>SUM(E68:E70)</f>
        <v>87.892920000000018</v>
      </c>
      <c r="F71">
        <f>SUM(F68:F70)</f>
        <v>54.704400000000007</v>
      </c>
    </row>
    <row r="73" spans="1:9" x14ac:dyDescent="0.25">
      <c r="A73" s="124" t="s">
        <v>311</v>
      </c>
      <c r="B73" s="124"/>
    </row>
    <row r="74" spans="1:9" x14ac:dyDescent="0.25">
      <c r="A74" t="s">
        <v>304</v>
      </c>
      <c r="B74">
        <f>'carichi unitari 2'!$B$2*H74*I74</f>
        <v>19.670000000000002</v>
      </c>
      <c r="C74">
        <f>'carichi unitari 2'!$B$10*'carichi su travi 1 impalcato'!H74*'carichi su travi 1 impalcato'!I74</f>
        <v>4.2</v>
      </c>
      <c r="D74">
        <f>'carichi unitari 2'!$C$3*'carichi su travi 1 impalcato'!H74*'carichi su travi 1 impalcato'!I74</f>
        <v>7</v>
      </c>
      <c r="E74">
        <f>1.3*B74+(C74+D74)*1.5</f>
        <v>42.370999999999995</v>
      </c>
      <c r="F74">
        <f>B74+C74+0.3*D74</f>
        <v>25.970000000000002</v>
      </c>
      <c r="H74">
        <v>3.5</v>
      </c>
      <c r="I74">
        <v>1</v>
      </c>
    </row>
    <row r="75" spans="1:9" x14ac:dyDescent="0.25">
      <c r="A75" t="s">
        <v>55</v>
      </c>
      <c r="B75">
        <f>0.8*'carichi unitari 2'!$B$6</f>
        <v>8.072000000000001</v>
      </c>
      <c r="C75">
        <v>0</v>
      </c>
      <c r="D75">
        <v>0</v>
      </c>
      <c r="E75">
        <f>1.3*B75+(C75+D75)*1.5</f>
        <v>10.493600000000002</v>
      </c>
      <c r="F75">
        <f>B75+C75+0.3*D75</f>
        <v>8.072000000000001</v>
      </c>
    </row>
    <row r="76" spans="1:9" x14ac:dyDescent="0.25">
      <c r="A76" t="s">
        <v>289</v>
      </c>
      <c r="B76">
        <f>'carichi unitari 2'!$B$8</f>
        <v>4.0999999999999996</v>
      </c>
      <c r="C76">
        <v>0</v>
      </c>
      <c r="D76">
        <v>0</v>
      </c>
      <c r="E76">
        <f>1.3*B76+(C76+D76)*1.5</f>
        <v>5.33</v>
      </c>
      <c r="F76">
        <f>B76+C76+0.3*D76</f>
        <v>4.0999999999999996</v>
      </c>
    </row>
    <row r="77" spans="1:9" x14ac:dyDescent="0.25">
      <c r="A77" t="s">
        <v>30</v>
      </c>
    </row>
    <row r="78" spans="1:9" x14ac:dyDescent="0.25">
      <c r="E78">
        <f>SUM(E74:E76)</f>
        <v>58.194599999999994</v>
      </c>
      <c r="F78">
        <f>SUM(F74:F76)</f>
        <v>38.142000000000003</v>
      </c>
    </row>
    <row r="80" spans="1:9" x14ac:dyDescent="0.25">
      <c r="A80" s="124" t="s">
        <v>310</v>
      </c>
    </row>
    <row r="81" spans="1:9" x14ac:dyDescent="0.25">
      <c r="A81" t="s">
        <v>304</v>
      </c>
      <c r="B81">
        <f>'carichi unitari 2'!$B$2*H81*I81</f>
        <v>17.000500000000002</v>
      </c>
      <c r="C81">
        <f>'carichi unitari 2'!$B$10*'carichi su travi 1 impalcato'!H81*'carichi su travi 1 impalcato'!I81</f>
        <v>3.63</v>
      </c>
      <c r="D81">
        <f>'carichi unitari 2'!$C$3*'carichi su travi 1 impalcato'!H81*'carichi su travi 1 impalcato'!I81</f>
        <v>6.0500000000000007</v>
      </c>
      <c r="E81">
        <f t="shared" ref="E81:E83" si="15">1.3*B81+(C81+D81)*1.5</f>
        <v>36.620650000000005</v>
      </c>
      <c r="F81">
        <f t="shared" ref="F81:F83" si="16">B81+C81+0.3*D81</f>
        <v>22.445500000000003</v>
      </c>
      <c r="H81">
        <v>2.75</v>
      </c>
      <c r="I81">
        <v>1.1000000000000001</v>
      </c>
    </row>
    <row r="82" spans="1:9" x14ac:dyDescent="0.25">
      <c r="A82" t="s">
        <v>305</v>
      </c>
      <c r="B82">
        <f>'carichi unitari 2'!$B$2*H82*I81</f>
        <v>20.709700000000005</v>
      </c>
      <c r="C82">
        <f>'carichi unitari 2'!$B$10*'carichi su travi 1 impalcato'!H82*'carichi su travi 1 impalcato'!I81</f>
        <v>4.4219999999999997</v>
      </c>
      <c r="D82">
        <f>'carichi unitari 2'!$C$3*'carichi su travi 1 impalcato'!H82*'carichi su travi 1 impalcato'!I81</f>
        <v>7.370000000000001</v>
      </c>
      <c r="E82">
        <f t="shared" si="15"/>
        <v>44.610610000000008</v>
      </c>
      <c r="F82">
        <f t="shared" si="16"/>
        <v>27.342700000000008</v>
      </c>
      <c r="H82">
        <f>6.7/2</f>
        <v>3.35</v>
      </c>
    </row>
    <row r="83" spans="1:9" x14ac:dyDescent="0.25">
      <c r="A83" t="s">
        <v>307</v>
      </c>
      <c r="B83">
        <f>'carichi unitari 2'!B7</f>
        <v>3.75</v>
      </c>
      <c r="C83">
        <f>0</f>
        <v>0</v>
      </c>
      <c r="D83">
        <v>0</v>
      </c>
      <c r="E83">
        <f t="shared" si="15"/>
        <v>4.875</v>
      </c>
      <c r="F83">
        <f t="shared" si="16"/>
        <v>3.75</v>
      </c>
    </row>
    <row r="84" spans="1:9" x14ac:dyDescent="0.25">
      <c r="A84" t="s">
        <v>30</v>
      </c>
      <c r="E84">
        <f>SUM(E81:E83)</f>
        <v>86.10626000000002</v>
      </c>
      <c r="F84">
        <f>SUM(F81:F83)</f>
        <v>53.53820000000001</v>
      </c>
    </row>
    <row r="87" spans="1:9" x14ac:dyDescent="0.25">
      <c r="A87" s="124" t="s">
        <v>312</v>
      </c>
    </row>
    <row r="88" spans="1:9" x14ac:dyDescent="0.25">
      <c r="A88" t="s">
        <v>304</v>
      </c>
      <c r="B88">
        <f>'carichi unitari 2'!B2*H88</f>
        <v>12.364000000000001</v>
      </c>
      <c r="C88">
        <f>H88*'carichi unitari 2'!B10</f>
        <v>2.64</v>
      </c>
      <c r="D88">
        <f>H88*'carichi unitari 2'!C3</f>
        <v>4.4000000000000004</v>
      </c>
      <c r="E88">
        <f>1.3*B88+(C88+D88)*1.5</f>
        <v>26.633200000000002</v>
      </c>
      <c r="F88">
        <f>B88+C88+0.3*D88</f>
        <v>16.324000000000002</v>
      </c>
      <c r="H88">
        <f>2*I88</f>
        <v>2.2000000000000002</v>
      </c>
      <c r="I88">
        <v>1.1000000000000001</v>
      </c>
    </row>
    <row r="89" spans="1:9" x14ac:dyDescent="0.25">
      <c r="A89" t="s">
        <v>305</v>
      </c>
      <c r="B89">
        <f>H89*'carichi unitari 2'!B2</f>
        <v>21.637000000000004</v>
      </c>
      <c r="C89">
        <f>H89*'carichi unitari 2'!B10</f>
        <v>4.62</v>
      </c>
      <c r="D89">
        <f>H89*'carichi unitari 2'!C3</f>
        <v>7.7000000000000011</v>
      </c>
      <c r="E89">
        <f t="shared" ref="E89:E90" si="17">1.3*B89+(C89+D89)*1.5</f>
        <v>46.608100000000007</v>
      </c>
      <c r="F89">
        <f t="shared" ref="F89:F90" si="18">B89+C89+0.3*D89</f>
        <v>28.567000000000004</v>
      </c>
      <c r="H89">
        <f>3.5*I88</f>
        <v>3.8500000000000005</v>
      </c>
    </row>
    <row r="90" spans="1:9" x14ac:dyDescent="0.25">
      <c r="A90" t="s">
        <v>307</v>
      </c>
      <c r="B90">
        <f>'carichi unitari 2'!B8</f>
        <v>4.0999999999999996</v>
      </c>
      <c r="C90">
        <v>0</v>
      </c>
      <c r="D90">
        <v>0</v>
      </c>
      <c r="E90">
        <f t="shared" si="17"/>
        <v>5.33</v>
      </c>
      <c r="F90">
        <f t="shared" si="18"/>
        <v>4.0999999999999996</v>
      </c>
    </row>
    <row r="91" spans="1:9" x14ac:dyDescent="0.25">
      <c r="A91" t="s">
        <v>30</v>
      </c>
      <c r="E91">
        <f>SUM(E88:E90)</f>
        <v>78.571300000000008</v>
      </c>
      <c r="F91">
        <f>SUM(F88:F90)</f>
        <v>48.991000000000007</v>
      </c>
    </row>
    <row r="94" spans="1:9" x14ac:dyDescent="0.25">
      <c r="A94" s="124" t="s">
        <v>334</v>
      </c>
    </row>
    <row r="95" spans="1:9" x14ac:dyDescent="0.25">
      <c r="A95" t="s">
        <v>304</v>
      </c>
      <c r="B95">
        <f>'carichi unitari 2'!B2*H95</f>
        <v>18.827000000000002</v>
      </c>
      <c r="C95">
        <f>'carichi unitari 2'!B10*'carichi su travi 1 impalcato'!H95</f>
        <v>4.0199999999999996</v>
      </c>
      <c r="D95">
        <f>'carichi unitari 2'!C3*'carichi su travi 1 impalcato'!H95</f>
        <v>6.7</v>
      </c>
      <c r="E95">
        <f>1.3*B95+(C95+D95)*1.5</f>
        <v>40.555100000000003</v>
      </c>
      <c r="F95">
        <f>(B95+C95)+0.3*D95</f>
        <v>24.856999999999999</v>
      </c>
      <c r="H95">
        <v>3.35</v>
      </c>
      <c r="I95">
        <v>1</v>
      </c>
    </row>
    <row r="96" spans="1:9" x14ac:dyDescent="0.25">
      <c r="A96" t="s">
        <v>23</v>
      </c>
      <c r="B96">
        <f>'carichi unitari 2'!B5*'carichi su travi 1 impalcato'!H96</f>
        <v>13.5</v>
      </c>
      <c r="C96">
        <v>0</v>
      </c>
      <c r="D96">
        <f>4*H96</f>
        <v>10.8</v>
      </c>
      <c r="E96">
        <f t="shared" ref="E96:E97" si="19">1.3*B96+(C96+D96)*1.5</f>
        <v>33.75</v>
      </c>
      <c r="F96">
        <f t="shared" ref="F96:F97" si="20">(B96+C96)+0.3*D96</f>
        <v>16.740000000000002</v>
      </c>
      <c r="H96">
        <v>2.7</v>
      </c>
    </row>
    <row r="97" spans="1:9" x14ac:dyDescent="0.25">
      <c r="A97" t="s">
        <v>307</v>
      </c>
      <c r="B97">
        <f>'carichi unitari 2'!B8</f>
        <v>4.0999999999999996</v>
      </c>
      <c r="C97">
        <v>0</v>
      </c>
      <c r="D97">
        <v>0</v>
      </c>
      <c r="E97">
        <f t="shared" si="19"/>
        <v>5.33</v>
      </c>
      <c r="F97">
        <f t="shared" si="20"/>
        <v>4.0999999999999996</v>
      </c>
    </row>
    <row r="98" spans="1:9" x14ac:dyDescent="0.25">
      <c r="E98">
        <f>SUM(E95:E97)</f>
        <v>79.635100000000008</v>
      </c>
      <c r="F98">
        <f>SUM(F95:F97)</f>
        <v>45.697000000000003</v>
      </c>
    </row>
    <row r="101" spans="1:9" x14ac:dyDescent="0.25">
      <c r="A101" s="124" t="s">
        <v>314</v>
      </c>
    </row>
    <row r="102" spans="1:9" x14ac:dyDescent="0.25">
      <c r="A102" t="s">
        <v>45</v>
      </c>
      <c r="B102">
        <f>'carichi unitari 2'!$B$2*H102*I102</f>
        <v>15.174000000000001</v>
      </c>
      <c r="C102">
        <f>'carichi unitari 2'!$B$10*'carichi su travi 1 impalcato'!H102*'carichi su travi 1 impalcato'!I102</f>
        <v>3.24</v>
      </c>
      <c r="D102">
        <f>'carichi unitari 2'!$C$3*'carichi su travi 1 impalcato'!H102*'carichi su travi 1 impalcato'!I102</f>
        <v>5.4</v>
      </c>
      <c r="E102">
        <f>1.3*B102+(C102+D102)*1.5</f>
        <v>32.686199999999999</v>
      </c>
      <c r="F102">
        <f>B102+C102+0.3*D102</f>
        <v>20.034000000000002</v>
      </c>
      <c r="H102">
        <f>5.4/2</f>
        <v>2.7</v>
      </c>
      <c r="I102">
        <v>1</v>
      </c>
    </row>
    <row r="103" spans="1:9" x14ac:dyDescent="0.25">
      <c r="A103" t="s">
        <v>55</v>
      </c>
      <c r="B103">
        <f>0.8*'carichi unitari 2'!$B$6</f>
        <v>8.072000000000001</v>
      </c>
      <c r="C103">
        <v>0</v>
      </c>
      <c r="D103">
        <v>0</v>
      </c>
      <c r="E103">
        <f>1.3*B103+(C103+D103)*1.5</f>
        <v>10.493600000000002</v>
      </c>
      <c r="F103">
        <f>B103+C103+0.3*D103</f>
        <v>8.072000000000001</v>
      </c>
    </row>
    <row r="104" spans="1:9" x14ac:dyDescent="0.25">
      <c r="A104" t="s">
        <v>289</v>
      </c>
      <c r="B104">
        <f>'carichi unitari 2'!$B$8</f>
        <v>4.0999999999999996</v>
      </c>
      <c r="C104">
        <v>0</v>
      </c>
      <c r="D104">
        <v>0</v>
      </c>
      <c r="E104">
        <f>1.3*B104+(C104+D104)*1.5</f>
        <v>5.33</v>
      </c>
      <c r="F104">
        <f>B104+C104+0.3*D104</f>
        <v>4.0999999999999996</v>
      </c>
    </row>
    <row r="105" spans="1:9" x14ac:dyDescent="0.25">
      <c r="A105" t="s">
        <v>30</v>
      </c>
    </row>
    <row r="106" spans="1:9" x14ac:dyDescent="0.25">
      <c r="E106">
        <f>SUM(E102:E104)</f>
        <v>48.509799999999998</v>
      </c>
      <c r="F106">
        <f>SUM(F102:F104)</f>
        <v>32.206000000000003</v>
      </c>
    </row>
    <row r="108" spans="1:9" x14ac:dyDescent="0.25">
      <c r="A108" s="124"/>
    </row>
    <row r="109" spans="1:9" x14ac:dyDescent="0.25">
      <c r="A109" s="124" t="s">
        <v>335</v>
      </c>
    </row>
    <row r="110" spans="1:9" x14ac:dyDescent="0.25">
      <c r="A110" t="s">
        <v>55</v>
      </c>
      <c r="B110">
        <f>0.8*'carichi unitari 2'!B6</f>
        <v>8.072000000000001</v>
      </c>
      <c r="C110">
        <v>0</v>
      </c>
      <c r="D110">
        <v>0</v>
      </c>
      <c r="E110">
        <f>1.3*B110+(C110+D110)*1.5</f>
        <v>10.493600000000002</v>
      </c>
      <c r="F110">
        <f>(B110+C110)+0.3*D110</f>
        <v>8.072000000000001</v>
      </c>
    </row>
    <row r="111" spans="1:9" x14ac:dyDescent="0.25">
      <c r="A111" t="s">
        <v>289</v>
      </c>
      <c r="B111">
        <f>'carichi unitari 2'!B8</f>
        <v>4.0999999999999996</v>
      </c>
      <c r="C111">
        <v>0</v>
      </c>
      <c r="D111">
        <v>0</v>
      </c>
      <c r="E111">
        <f>1.3*B111+(C111+D111)*1.5</f>
        <v>5.33</v>
      </c>
      <c r="F111">
        <f>(B111+C111)+0.3*D111</f>
        <v>4.0999999999999996</v>
      </c>
    </row>
    <row r="112" spans="1:9" x14ac:dyDescent="0.25">
      <c r="E112">
        <f>SUM(E110:E111)</f>
        <v>15.823600000000003</v>
      </c>
      <c r="F112">
        <f>SUM(F110:F111)</f>
        <v>12.172000000000001</v>
      </c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73" zoomScaleNormal="73" workbookViewId="0">
      <selection activeCell="J10" sqref="J10"/>
    </sheetView>
  </sheetViews>
  <sheetFormatPr defaultRowHeight="15" x14ac:dyDescent="0.25"/>
  <cols>
    <col min="1" max="1" width="11.85546875" customWidth="1"/>
    <col min="2" max="2" width="25" customWidth="1"/>
    <col min="3" max="4" width="22.28515625" customWidth="1"/>
  </cols>
  <sheetData>
    <row r="1" spans="1:4" x14ac:dyDescent="0.25">
      <c r="A1" s="118" t="s">
        <v>317</v>
      </c>
      <c r="B1" s="118" t="s">
        <v>286</v>
      </c>
      <c r="C1" s="118" t="s">
        <v>315</v>
      </c>
      <c r="D1" s="118" t="s">
        <v>316</v>
      </c>
    </row>
    <row r="2" spans="1:4" x14ac:dyDescent="0.25">
      <c r="A2" s="62">
        <v>1</v>
      </c>
      <c r="B2" s="62" t="s">
        <v>318</v>
      </c>
      <c r="C2" s="119">
        <f>'carichi su travi 1 impalcato'!E6</f>
        <v>21.876600000000003</v>
      </c>
      <c r="D2" s="119">
        <f>'carichi su travi 1 impalcato'!F6</f>
        <v>15.882</v>
      </c>
    </row>
    <row r="3" spans="1:4" x14ac:dyDescent="0.25">
      <c r="A3" s="62">
        <v>2</v>
      </c>
      <c r="B3" s="62" t="s">
        <v>319</v>
      </c>
      <c r="C3" s="119">
        <f>'carichi su travi 1 impalcato'!E12</f>
        <v>18.191600000000001</v>
      </c>
      <c r="D3" s="119">
        <f>'carichi su travi 1 impalcato'!F12</f>
        <v>11.912000000000001</v>
      </c>
    </row>
    <row r="4" spans="1:4" x14ac:dyDescent="0.25">
      <c r="A4" s="62">
        <v>3</v>
      </c>
      <c r="B4" s="62" t="s">
        <v>320</v>
      </c>
      <c r="C4" s="119">
        <f>'carichi su travi 1 impalcato'!E12</f>
        <v>18.191600000000001</v>
      </c>
      <c r="D4" s="119">
        <f>'carichi su travi 1 impalcato'!F12</f>
        <v>11.912000000000001</v>
      </c>
    </row>
    <row r="5" spans="1:4" x14ac:dyDescent="0.25">
      <c r="A5" s="62"/>
      <c r="B5" s="62" t="s">
        <v>321</v>
      </c>
      <c r="C5" s="120">
        <f>'carichi su travi 1 impalcato'!E43</f>
        <v>36.383000000000003</v>
      </c>
      <c r="D5" s="120">
        <f>'carichi su travi 1 impalcato'!F43</f>
        <v>20.21</v>
      </c>
    </row>
    <row r="6" spans="1:4" x14ac:dyDescent="0.25">
      <c r="A6" s="62"/>
      <c r="B6" s="62" t="s">
        <v>322</v>
      </c>
      <c r="C6" s="120">
        <f>'carichi su travi 1 impalcato'!E20</f>
        <v>16.981000000000002</v>
      </c>
      <c r="D6" s="120">
        <f>'carichi su travi 1 impalcato'!F20</f>
        <v>11.17</v>
      </c>
    </row>
    <row r="7" spans="1:4" x14ac:dyDescent="0.25">
      <c r="A7" s="62">
        <v>4</v>
      </c>
      <c r="B7" s="62" t="s">
        <v>323</v>
      </c>
      <c r="C7" s="119">
        <f>'carichi su travi 1 impalcato'!E6</f>
        <v>21.876600000000003</v>
      </c>
      <c r="D7" s="119">
        <f>'carichi su travi 1 impalcato'!F6</f>
        <v>15.882</v>
      </c>
    </row>
    <row r="8" spans="1:4" x14ac:dyDescent="0.25">
      <c r="A8" s="62">
        <v>5</v>
      </c>
      <c r="B8" s="2" t="s">
        <v>324</v>
      </c>
      <c r="C8" s="120">
        <f>'carichi su travi 1 impalcato'!E33</f>
        <v>78.882999999999996</v>
      </c>
      <c r="D8" s="120">
        <f>'carichi su travi 1 impalcato'!F33</f>
        <v>41.290000000000006</v>
      </c>
    </row>
    <row r="9" spans="1:4" x14ac:dyDescent="0.25">
      <c r="A9" s="62"/>
      <c r="B9" s="62" t="s">
        <v>325</v>
      </c>
      <c r="C9" s="119">
        <f>'carichi su travi 1 impalcato'!E26</f>
        <v>17.436</v>
      </c>
      <c r="D9" s="120">
        <f>'carichi su travi 1 impalcato'!F26</f>
        <v>11.52</v>
      </c>
    </row>
    <row r="10" spans="1:4" x14ac:dyDescent="0.25">
      <c r="A10" s="62">
        <v>6</v>
      </c>
      <c r="B10" s="62" t="s">
        <v>326</v>
      </c>
      <c r="C10" s="119">
        <f>'carichi su travi 1 impalcato'!E12</f>
        <v>18.191600000000001</v>
      </c>
      <c r="D10" s="119">
        <f>'carichi su travi 1 impalcato'!F12</f>
        <v>11.912000000000001</v>
      </c>
    </row>
    <row r="11" spans="1:4" x14ac:dyDescent="0.25">
      <c r="A11" s="62">
        <v>7</v>
      </c>
      <c r="B11" s="62" t="s">
        <v>327</v>
      </c>
      <c r="C11" s="119">
        <f>'carichi su travi 1 impalcato'!E6</f>
        <v>21.876600000000003</v>
      </c>
      <c r="D11" s="119">
        <f>'carichi su travi 1 impalcato'!F6</f>
        <v>15.882</v>
      </c>
    </row>
    <row r="12" spans="1:4" x14ac:dyDescent="0.25">
      <c r="A12" s="62">
        <v>8</v>
      </c>
      <c r="B12" s="62" t="s">
        <v>328</v>
      </c>
      <c r="C12" s="120">
        <f>'carichi su travi 1 impalcato'!E51</f>
        <v>49.115099999999998</v>
      </c>
      <c r="D12" s="120">
        <f>'carichi su travi 1 impalcato'!F51</f>
        <v>32.576999999999998</v>
      </c>
    </row>
    <row r="13" spans="1:4" x14ac:dyDescent="0.25">
      <c r="A13" s="62">
        <v>9</v>
      </c>
      <c r="B13" s="121" t="s">
        <v>329</v>
      </c>
      <c r="C13" s="120">
        <f>'carichi su travi 1 impalcato'!E58</f>
        <v>86.561260000000019</v>
      </c>
      <c r="D13" s="120">
        <f>'carichi su travi 1 impalcato'!F58</f>
        <v>53.888200000000012</v>
      </c>
    </row>
    <row r="14" spans="1:4" x14ac:dyDescent="0.25">
      <c r="A14" s="62"/>
      <c r="B14" s="62" t="s">
        <v>330</v>
      </c>
      <c r="C14" s="120">
        <f>'carichi su travi 1 impalcato'!E84</f>
        <v>86.10626000000002</v>
      </c>
      <c r="D14" s="120">
        <f>'carichi su travi 1 impalcato'!F84</f>
        <v>53.53820000000001</v>
      </c>
    </row>
    <row r="15" spans="1:4" x14ac:dyDescent="0.25">
      <c r="A15" s="62">
        <v>10</v>
      </c>
      <c r="B15" s="62" t="s">
        <v>331</v>
      </c>
      <c r="C15" s="120">
        <f>'carichi su travi 1 impalcato'!E65</f>
        <v>78.571299999999994</v>
      </c>
      <c r="D15" s="120">
        <f>'carichi su travi 1 impalcato'!F65</f>
        <v>48.991000000000007</v>
      </c>
    </row>
    <row r="16" spans="1:4" x14ac:dyDescent="0.25">
      <c r="A16" s="62"/>
      <c r="B16" s="62" t="s">
        <v>332</v>
      </c>
      <c r="C16" s="120">
        <f>'carichi su travi 1 impalcato'!E98</f>
        <v>79.635100000000008</v>
      </c>
      <c r="D16" s="120">
        <f>'carichi su travi 1 impalcato'!F98</f>
        <v>45.697000000000003</v>
      </c>
    </row>
    <row r="17" spans="1:4" x14ac:dyDescent="0.25">
      <c r="A17" s="62"/>
      <c r="B17" s="62" t="s">
        <v>333</v>
      </c>
      <c r="C17" s="119">
        <f>'carichi su travi 1 impalcato'!E112</f>
        <v>15.823600000000003</v>
      </c>
      <c r="D17" s="122">
        <f>'carichi su travi 1 impalcato'!F112</f>
        <v>12.172000000000001</v>
      </c>
    </row>
    <row r="18" spans="1:4" x14ac:dyDescent="0.25">
      <c r="A18" s="62"/>
      <c r="B18" s="62" t="s">
        <v>336</v>
      </c>
      <c r="C18" s="120">
        <f>'carichi su travi 1 impalcato'!E106</f>
        <v>48.509799999999998</v>
      </c>
      <c r="D18" s="120">
        <f>'carichi su travi 1 impalcato'!F106</f>
        <v>32.206000000000003</v>
      </c>
    </row>
    <row r="19" spans="1:4" x14ac:dyDescent="0.25">
      <c r="A19" s="62">
        <v>11</v>
      </c>
      <c r="B19" s="62" t="s">
        <v>337</v>
      </c>
      <c r="C19" s="120">
        <f>'carichi su travi 1 impalcato'!E71</f>
        <v>87.892920000000018</v>
      </c>
      <c r="D19" s="120">
        <f>'carichi su travi 1 impalcato'!F71</f>
        <v>54.704400000000007</v>
      </c>
    </row>
    <row r="20" spans="1:4" x14ac:dyDescent="0.25">
      <c r="A20" s="62"/>
      <c r="B20" s="62" t="s">
        <v>338</v>
      </c>
      <c r="C20" s="120">
        <f>'carichi su travi 1 impalcato'!E91</f>
        <v>78.571300000000008</v>
      </c>
      <c r="D20" s="120">
        <f>'carichi su travi 1 impalcato'!F91</f>
        <v>48.991000000000007</v>
      </c>
    </row>
    <row r="21" spans="1:4" x14ac:dyDescent="0.25">
      <c r="A21" s="62">
        <v>12</v>
      </c>
      <c r="B21" s="62" t="s">
        <v>339</v>
      </c>
      <c r="C21" s="120">
        <f>'carichi su travi 1 impalcato'!E78</f>
        <v>58.194599999999994</v>
      </c>
      <c r="D21" s="120">
        <f>'carichi su travi 1 impalcato'!F78</f>
        <v>38.142000000000003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56" zoomScaleNormal="56" workbookViewId="0">
      <selection activeCell="I12" sqref="I12"/>
    </sheetView>
  </sheetViews>
  <sheetFormatPr defaultRowHeight="15" x14ac:dyDescent="0.25"/>
  <cols>
    <col min="1" max="1" width="14" customWidth="1"/>
    <col min="2" max="2" width="17.28515625" customWidth="1"/>
    <col min="3" max="3" width="20.42578125" customWidth="1"/>
    <col min="4" max="4" width="19" customWidth="1"/>
    <col min="5" max="5" width="13.42578125" customWidth="1"/>
    <col min="9" max="9" width="9.42578125" bestFit="1" customWidth="1"/>
  </cols>
  <sheetData>
    <row r="1" spans="1:10" x14ac:dyDescent="0.25">
      <c r="A1" s="62" t="s">
        <v>0</v>
      </c>
      <c r="B1" s="2" t="s">
        <v>186</v>
      </c>
      <c r="C1" s="2" t="s">
        <v>189</v>
      </c>
      <c r="D1" s="2" t="s">
        <v>188</v>
      </c>
      <c r="E1" s="2" t="s">
        <v>1</v>
      </c>
      <c r="I1" s="130" t="s">
        <v>402</v>
      </c>
      <c r="J1" s="130"/>
    </row>
    <row r="2" spans="1:10" x14ac:dyDescent="0.25">
      <c r="A2" s="62" t="s">
        <v>2</v>
      </c>
      <c r="B2" s="62">
        <v>502.5</v>
      </c>
      <c r="C2" s="63">
        <f>'masse precise'!C37</f>
        <v>8.9696514427860716</v>
      </c>
      <c r="D2" s="63">
        <f>B2*C2</f>
        <v>4507.2498500000011</v>
      </c>
      <c r="E2" s="129">
        <f>D2/9.81</f>
        <v>459.45462283384308</v>
      </c>
      <c r="I2" s="131">
        <f>'masse precise'!C30</f>
        <v>459.45462283384308</v>
      </c>
      <c r="J2" s="130"/>
    </row>
    <row r="3" spans="1:10" x14ac:dyDescent="0.25">
      <c r="A3" s="62">
        <v>5</v>
      </c>
      <c r="B3" s="62">
        <v>575.1</v>
      </c>
      <c r="C3" s="63">
        <f>'masse precise'!C38</f>
        <v>10.377264823508956</v>
      </c>
      <c r="D3" s="63">
        <f t="shared" ref="D3:D7" si="0">B3*C3</f>
        <v>5967.9650000000001</v>
      </c>
      <c r="E3" s="63">
        <f t="shared" ref="E3:E7" si="1">D3/9.81</f>
        <v>608.35524974515795</v>
      </c>
      <c r="I3" s="130">
        <f>'masse precise'!$C$13</f>
        <v>608.35524974515795</v>
      </c>
      <c r="J3" s="130"/>
    </row>
    <row r="4" spans="1:10" x14ac:dyDescent="0.25">
      <c r="A4" s="62">
        <v>4</v>
      </c>
      <c r="B4" s="62">
        <v>575.1</v>
      </c>
      <c r="C4" s="63">
        <f>'masse precise'!C39</f>
        <v>10.377264823508956</v>
      </c>
      <c r="D4" s="63">
        <f t="shared" si="0"/>
        <v>5967.9650000000001</v>
      </c>
      <c r="E4" s="63">
        <f t="shared" si="1"/>
        <v>608.35524974515795</v>
      </c>
      <c r="I4" s="130">
        <f>'masse precise'!$C$13</f>
        <v>608.35524974515795</v>
      </c>
      <c r="J4" s="130"/>
    </row>
    <row r="5" spans="1:10" x14ac:dyDescent="0.25">
      <c r="A5" s="62">
        <v>3</v>
      </c>
      <c r="B5" s="62">
        <v>575.1</v>
      </c>
      <c r="C5" s="63">
        <f>'masse precise'!C40</f>
        <v>10.377264823508956</v>
      </c>
      <c r="D5" s="63">
        <f t="shared" si="0"/>
        <v>5967.9650000000001</v>
      </c>
      <c r="E5" s="63">
        <f t="shared" si="1"/>
        <v>608.35524974515795</v>
      </c>
      <c r="I5" s="130">
        <f>'masse precise'!$C$13</f>
        <v>608.35524974515795</v>
      </c>
      <c r="J5" s="130"/>
    </row>
    <row r="6" spans="1:10" x14ac:dyDescent="0.25">
      <c r="A6" s="62">
        <v>2</v>
      </c>
      <c r="B6" s="62">
        <v>575.1</v>
      </c>
      <c r="C6" s="63">
        <f>'masse precise'!C41</f>
        <v>10.377264823508956</v>
      </c>
      <c r="D6" s="63">
        <f t="shared" si="0"/>
        <v>5967.9650000000001</v>
      </c>
      <c r="E6" s="63">
        <f t="shared" si="1"/>
        <v>608.35524974515795</v>
      </c>
      <c r="I6" s="130">
        <f>'masse precise'!$C$13</f>
        <v>608.35524974515795</v>
      </c>
      <c r="J6" s="130"/>
    </row>
    <row r="7" spans="1:10" x14ac:dyDescent="0.25">
      <c r="A7" s="62">
        <v>1</v>
      </c>
      <c r="B7" s="62">
        <v>472.3</v>
      </c>
      <c r="C7" s="63">
        <f>'masse precise'!C42</f>
        <v>11.214653821723482</v>
      </c>
      <c r="D7" s="63">
        <f t="shared" si="0"/>
        <v>5296.6810000000005</v>
      </c>
      <c r="E7" s="63">
        <f t="shared" si="1"/>
        <v>539.92670744138638</v>
      </c>
      <c r="I7" s="130">
        <f>'masse precise'!H13</f>
        <v>539.92670744138638</v>
      </c>
      <c r="J7" s="130"/>
    </row>
    <row r="8" spans="1:10" x14ac:dyDescent="0.25">
      <c r="A8" s="62" t="s">
        <v>3</v>
      </c>
      <c r="B8" s="64"/>
      <c r="C8" s="64"/>
      <c r="D8" s="63">
        <f>SUM(D2:D7)</f>
        <v>33675.790850000005</v>
      </c>
      <c r="E8" s="63">
        <f>D8/9.81</f>
        <v>3432.8023292558619</v>
      </c>
    </row>
    <row r="11" spans="1:10" x14ac:dyDescent="0.25">
      <c r="A11" s="2" t="s">
        <v>4</v>
      </c>
      <c r="B11" s="2">
        <v>7.4999999999999997E-2</v>
      </c>
    </row>
    <row r="12" spans="1:10" x14ac:dyDescent="0.25">
      <c r="A12" s="2" t="s">
        <v>5</v>
      </c>
      <c r="B12" s="2">
        <v>20</v>
      </c>
    </row>
    <row r="13" spans="1:10" x14ac:dyDescent="0.25">
      <c r="A13" s="2" t="s">
        <v>6</v>
      </c>
      <c r="B13" s="3">
        <f>B11*B12^(3/4)</f>
        <v>0.70930620675238187</v>
      </c>
    </row>
    <row r="14" spans="1:10" x14ac:dyDescent="0.25">
      <c r="A14" s="2" t="s">
        <v>7</v>
      </c>
      <c r="B14" s="2">
        <v>8.4000000000000005E-2</v>
      </c>
      <c r="C14" t="s">
        <v>91</v>
      </c>
    </row>
    <row r="15" spans="1:10" x14ac:dyDescent="0.25">
      <c r="A15" s="2" t="s">
        <v>8</v>
      </c>
      <c r="B15" s="4">
        <f>0.85*D8*B14</f>
        <v>2404.4514666900004</v>
      </c>
    </row>
    <row r="16" spans="1:10" x14ac:dyDescent="0.25">
      <c r="A16" s="1"/>
    </row>
    <row r="19" spans="1:6" x14ac:dyDescent="0.25">
      <c r="A19" s="65" t="s">
        <v>0</v>
      </c>
      <c r="B19" s="65" t="s">
        <v>190</v>
      </c>
      <c r="C19" s="65" t="s">
        <v>187</v>
      </c>
      <c r="D19" s="65" t="s">
        <v>191</v>
      </c>
      <c r="E19" s="65" t="s">
        <v>192</v>
      </c>
      <c r="F19" s="65" t="s">
        <v>193</v>
      </c>
    </row>
    <row r="20" spans="1:6" x14ac:dyDescent="0.25">
      <c r="A20" s="65" t="s">
        <v>10</v>
      </c>
      <c r="B20" s="68">
        <f t="shared" ref="B20:B25" si="2">D2</f>
        <v>4507.2498500000011</v>
      </c>
      <c r="C20" s="65">
        <f>C21+3.3</f>
        <v>20</v>
      </c>
      <c r="D20" s="66">
        <f>B20*C20</f>
        <v>90144.997000000018</v>
      </c>
      <c r="E20" s="67">
        <f>D20/$D$26*$B$15</f>
        <v>556.9415988634214</v>
      </c>
      <c r="F20" s="68">
        <f>E20</f>
        <v>556.9415988634214</v>
      </c>
    </row>
    <row r="21" spans="1:6" x14ac:dyDescent="0.25">
      <c r="A21" s="65">
        <v>5</v>
      </c>
      <c r="B21" s="68">
        <f t="shared" si="2"/>
        <v>5967.9650000000001</v>
      </c>
      <c r="C21" s="65">
        <f>C22+3.3</f>
        <v>16.7</v>
      </c>
      <c r="D21" s="66">
        <f t="shared" ref="D21:D25" si="3">B21*C21</f>
        <v>99665.015499999994</v>
      </c>
      <c r="E21" s="68">
        <f t="shared" ref="E21:E25" si="4">D21/$D$26*$B$15</f>
        <v>615.75899861994185</v>
      </c>
      <c r="F21" s="68">
        <f>F20+E21</f>
        <v>1172.7005974833633</v>
      </c>
    </row>
    <row r="22" spans="1:6" x14ac:dyDescent="0.25">
      <c r="A22" s="65">
        <v>4</v>
      </c>
      <c r="B22" s="68">
        <f t="shared" si="2"/>
        <v>5967.9650000000001</v>
      </c>
      <c r="C22" s="65">
        <f>C23+3.3</f>
        <v>13.399999999999999</v>
      </c>
      <c r="D22" s="66">
        <f t="shared" si="3"/>
        <v>79970.731</v>
      </c>
      <c r="E22" s="68">
        <f t="shared" si="4"/>
        <v>494.08207074893539</v>
      </c>
      <c r="F22" s="68">
        <f>F21+E22</f>
        <v>1666.7826682322986</v>
      </c>
    </row>
    <row r="23" spans="1:6" x14ac:dyDescent="0.25">
      <c r="A23" s="65">
        <v>3</v>
      </c>
      <c r="B23" s="68">
        <f t="shared" si="2"/>
        <v>5967.9650000000001</v>
      </c>
      <c r="C23" s="65">
        <f>C24+3.3</f>
        <v>10.1</v>
      </c>
      <c r="D23" s="66">
        <f t="shared" si="3"/>
        <v>60276.446499999998</v>
      </c>
      <c r="E23" s="68">
        <f t="shared" si="4"/>
        <v>372.40514287792894</v>
      </c>
      <c r="F23" s="68">
        <f>F22+E23</f>
        <v>2039.1878111102276</v>
      </c>
    </row>
    <row r="24" spans="1:6" x14ac:dyDescent="0.25">
      <c r="A24" s="65">
        <v>2</v>
      </c>
      <c r="B24" s="68">
        <f t="shared" si="2"/>
        <v>5967.9650000000001</v>
      </c>
      <c r="C24" s="65">
        <f>C25+3.3</f>
        <v>6.8</v>
      </c>
      <c r="D24" s="66">
        <f t="shared" si="3"/>
        <v>40582.161999999997</v>
      </c>
      <c r="E24" s="68">
        <f t="shared" si="4"/>
        <v>250.72821500692245</v>
      </c>
      <c r="F24" s="68">
        <f>F23+E24</f>
        <v>2289.9160261171501</v>
      </c>
    </row>
    <row r="25" spans="1:6" x14ac:dyDescent="0.25">
      <c r="A25" s="65">
        <v>1</v>
      </c>
      <c r="B25" s="68">
        <f t="shared" si="2"/>
        <v>5296.6810000000005</v>
      </c>
      <c r="C25" s="65">
        <v>3.5</v>
      </c>
      <c r="D25" s="66">
        <f t="shared" si="3"/>
        <v>18538.383500000004</v>
      </c>
      <c r="E25" s="68">
        <f t="shared" si="4"/>
        <v>114.53544057285032</v>
      </c>
      <c r="F25" s="68">
        <f>F24+E25</f>
        <v>2404.4514666900004</v>
      </c>
    </row>
    <row r="26" spans="1:6" x14ac:dyDescent="0.25">
      <c r="A26" s="65" t="s">
        <v>11</v>
      </c>
      <c r="B26" s="69"/>
      <c r="C26" s="69"/>
      <c r="D26" s="66">
        <f>SUM(D20:D25)</f>
        <v>389177.73550000001</v>
      </c>
      <c r="E26" s="69"/>
      <c r="F26" s="69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="66" zoomScaleNormal="66" workbookViewId="0">
      <selection activeCell="E74" sqref="E74"/>
    </sheetView>
  </sheetViews>
  <sheetFormatPr defaultRowHeight="15" x14ac:dyDescent="0.25"/>
  <cols>
    <col min="1" max="1" width="23.85546875" customWidth="1"/>
    <col min="5" max="5" width="22.7109375" customWidth="1"/>
    <col min="6" max="6" width="22.140625" customWidth="1"/>
  </cols>
  <sheetData>
    <row r="1" spans="1:15" x14ac:dyDescent="0.25">
      <c r="A1" s="117" t="s">
        <v>290</v>
      </c>
      <c r="B1" s="117" t="s">
        <v>18</v>
      </c>
      <c r="C1" s="117" t="s">
        <v>294</v>
      </c>
      <c r="D1" s="117" t="s">
        <v>296</v>
      </c>
      <c r="E1" s="117" t="s">
        <v>288</v>
      </c>
      <c r="F1" s="117" t="s">
        <v>287</v>
      </c>
      <c r="G1" s="117"/>
      <c r="H1" s="118"/>
      <c r="I1" s="118"/>
    </row>
    <row r="2" spans="1:15" x14ac:dyDescent="0.25">
      <c r="A2" s="123" t="s">
        <v>364</v>
      </c>
      <c r="I2" t="s">
        <v>51</v>
      </c>
      <c r="K2">
        <v>0.5</v>
      </c>
      <c r="M2" t="s">
        <v>362</v>
      </c>
      <c r="N2">
        <v>1</v>
      </c>
    </row>
    <row r="3" spans="1:15" x14ac:dyDescent="0.25">
      <c r="A3" t="s">
        <v>45</v>
      </c>
      <c r="B3">
        <f>'carichi unitari 2'!$B$2*K2*N2</f>
        <v>2.81</v>
      </c>
      <c r="C3">
        <f>'carichi unitari 2'!B10*K2</f>
        <v>0.6</v>
      </c>
      <c r="D3" s="104">
        <f>'carichi unitari 2'!C3*'  carichi piano tipo'!K2</f>
        <v>1</v>
      </c>
      <c r="E3" s="104">
        <f>(1.3*B3)+1.5*(C3+D3)</f>
        <v>6.0530000000000008</v>
      </c>
      <c r="F3" s="104">
        <f>(B3+C3)+0.3*D3</f>
        <v>3.71</v>
      </c>
      <c r="I3" t="s">
        <v>363</v>
      </c>
      <c r="K3">
        <v>4</v>
      </c>
    </row>
    <row r="4" spans="1:15" x14ac:dyDescent="0.25">
      <c r="A4" t="s">
        <v>49</v>
      </c>
      <c r="B4">
        <f>'carichi unitari 2'!B4*K3*N2</f>
        <v>21.32</v>
      </c>
      <c r="C4">
        <v>0</v>
      </c>
      <c r="D4" s="16">
        <f>'carichi unitari 2'!C4*K3</f>
        <v>16</v>
      </c>
      <c r="E4" s="104">
        <f>(1.3*B4)+1.5*(C4+D4)</f>
        <v>51.716000000000001</v>
      </c>
      <c r="F4" s="104">
        <f>(B4+C4)+0.3*D4</f>
        <v>26.12</v>
      </c>
    </row>
    <row r="5" spans="1:15" x14ac:dyDescent="0.25">
      <c r="A5" t="s">
        <v>55</v>
      </c>
      <c r="B5" s="16">
        <f>0.8*'carichi unitari 2'!B6*N2</f>
        <v>8.072000000000001</v>
      </c>
      <c r="C5">
        <v>0</v>
      </c>
      <c r="D5">
        <v>0</v>
      </c>
      <c r="E5" s="104">
        <f>(1.3*B5)+1.5*(C5+D5)</f>
        <v>10.493600000000002</v>
      </c>
      <c r="F5" s="104">
        <f>(B5+C5)+0.3*D5</f>
        <v>8.072000000000001</v>
      </c>
    </row>
    <row r="6" spans="1:15" x14ac:dyDescent="0.25">
      <c r="A6" t="s">
        <v>361</v>
      </c>
      <c r="B6">
        <f>'carichi unitari 2'!B8</f>
        <v>4.0999999999999996</v>
      </c>
      <c r="C6">
        <v>0</v>
      </c>
      <c r="D6">
        <v>0</v>
      </c>
      <c r="E6" s="104">
        <f>(1.3*B6)+1.5*(C6+D6)</f>
        <v>5.33</v>
      </c>
      <c r="F6" s="104">
        <f>(B6+C6)+0.3*D6</f>
        <v>4.0999999999999996</v>
      </c>
    </row>
    <row r="7" spans="1:15" x14ac:dyDescent="0.25">
      <c r="E7" s="104">
        <f>SUM(E3:E6)</f>
        <v>73.592600000000004</v>
      </c>
      <c r="F7" s="104">
        <f>SUM(F3:F6)</f>
        <v>42.002000000000002</v>
      </c>
    </row>
    <row r="8" spans="1:15" x14ac:dyDescent="0.25">
      <c r="A8" s="124" t="s">
        <v>365</v>
      </c>
    </row>
    <row r="9" spans="1:15" x14ac:dyDescent="0.25">
      <c r="A9" t="s">
        <v>45</v>
      </c>
      <c r="B9">
        <f t="shared" ref="B9:D10" si="0">B3</f>
        <v>2.81</v>
      </c>
      <c r="C9">
        <f t="shared" si="0"/>
        <v>0.6</v>
      </c>
      <c r="D9" s="104">
        <f t="shared" si="0"/>
        <v>1</v>
      </c>
      <c r="E9" s="104">
        <f>(1.3*B9)+1.5*(C9+D9)</f>
        <v>6.0530000000000008</v>
      </c>
      <c r="F9" s="104">
        <f>(B9+C9)+0.3*D9</f>
        <v>3.71</v>
      </c>
      <c r="I9" t="s">
        <v>51</v>
      </c>
      <c r="K9">
        <v>0.5</v>
      </c>
      <c r="N9" t="s">
        <v>362</v>
      </c>
      <c r="O9">
        <v>1</v>
      </c>
    </row>
    <row r="10" spans="1:15" x14ac:dyDescent="0.25">
      <c r="A10" t="s">
        <v>49</v>
      </c>
      <c r="B10">
        <f t="shared" si="0"/>
        <v>21.32</v>
      </c>
      <c r="C10">
        <f t="shared" si="0"/>
        <v>0</v>
      </c>
      <c r="D10" s="16">
        <f t="shared" si="0"/>
        <v>16</v>
      </c>
      <c r="E10" s="104">
        <f>((1.3*B10)+1.5*(C10+D10))*0.3</f>
        <v>15.514799999999999</v>
      </c>
      <c r="F10" s="104">
        <f>((B10+C10)+0.3*D10)*0.3</f>
        <v>7.8360000000000003</v>
      </c>
      <c r="I10" t="s">
        <v>363</v>
      </c>
      <c r="K10">
        <v>4</v>
      </c>
      <c r="L10" t="s">
        <v>367</v>
      </c>
    </row>
    <row r="11" spans="1:15" x14ac:dyDescent="0.25">
      <c r="A11" t="s">
        <v>55</v>
      </c>
      <c r="B11" s="16">
        <f>B5</f>
        <v>8.072000000000001</v>
      </c>
      <c r="C11">
        <v>0</v>
      </c>
      <c r="D11">
        <v>0</v>
      </c>
      <c r="E11" s="104">
        <f>E5</f>
        <v>10.493600000000002</v>
      </c>
      <c r="F11" s="104">
        <f>F5</f>
        <v>8.072000000000001</v>
      </c>
    </row>
    <row r="12" spans="1:15" x14ac:dyDescent="0.25">
      <c r="A12" t="s">
        <v>361</v>
      </c>
      <c r="B12">
        <f>B6</f>
        <v>4.0999999999999996</v>
      </c>
      <c r="C12">
        <v>0</v>
      </c>
      <c r="D12">
        <v>0</v>
      </c>
      <c r="E12" s="104">
        <f>E6</f>
        <v>5.33</v>
      </c>
      <c r="F12" s="104">
        <f>F6</f>
        <v>4.0999999999999996</v>
      </c>
    </row>
    <row r="13" spans="1:15" x14ac:dyDescent="0.25">
      <c r="E13" s="104">
        <f>SUM(E9:E12)</f>
        <v>37.391399999999997</v>
      </c>
      <c r="F13" s="104">
        <f>SUM(F9:F12)</f>
        <v>23.718000000000004</v>
      </c>
    </row>
    <row r="14" spans="1:15" x14ac:dyDescent="0.25">
      <c r="E14" s="104"/>
    </row>
    <row r="15" spans="1:15" x14ac:dyDescent="0.25">
      <c r="A15" s="124" t="s">
        <v>366</v>
      </c>
      <c r="E15" s="104"/>
      <c r="I15" t="s">
        <v>51</v>
      </c>
      <c r="L15">
        <v>0.5</v>
      </c>
      <c r="N15" t="s">
        <v>370</v>
      </c>
      <c r="O15">
        <v>1</v>
      </c>
    </row>
    <row r="16" spans="1:15" x14ac:dyDescent="0.25">
      <c r="A16" t="s">
        <v>45</v>
      </c>
      <c r="B16">
        <f>'carichi unitari 2'!B3*0.5*O15</f>
        <v>2.81</v>
      </c>
      <c r="C16">
        <f>'carichi unitari 2'!B10*'  carichi piano tipo'!L15</f>
        <v>0.6</v>
      </c>
      <c r="D16" s="104">
        <f>'carichi unitari 2'!C3*'  carichi piano tipo'!L15</f>
        <v>1</v>
      </c>
      <c r="E16" s="104">
        <f>(1.3*B16)+1.5*(C16+D16)</f>
        <v>6.0530000000000008</v>
      </c>
      <c r="F16" s="104">
        <f>(B16+C16)+0.3*D16</f>
        <v>3.71</v>
      </c>
      <c r="I16" t="s">
        <v>363</v>
      </c>
      <c r="L16">
        <v>4</v>
      </c>
    </row>
    <row r="17" spans="1:15" x14ac:dyDescent="0.25">
      <c r="A17" t="s">
        <v>49</v>
      </c>
      <c r="B17">
        <f>'carichi unitari 2'!B4*L16*O15</f>
        <v>21.32</v>
      </c>
      <c r="C17">
        <v>0</v>
      </c>
      <c r="D17" s="16">
        <f>D4</f>
        <v>16</v>
      </c>
      <c r="E17" s="104">
        <f>(1.3*B17)+1.5*(C17+D17)</f>
        <v>51.716000000000001</v>
      </c>
      <c r="F17" s="104">
        <f>(B17+C17)+0.3*D17</f>
        <v>26.12</v>
      </c>
    </row>
    <row r="18" spans="1:15" x14ac:dyDescent="0.25">
      <c r="A18" t="s">
        <v>368</v>
      </c>
      <c r="B18" s="16">
        <f>B5</f>
        <v>8.072000000000001</v>
      </c>
      <c r="C18">
        <v>0</v>
      </c>
      <c r="D18">
        <v>0</v>
      </c>
      <c r="E18" s="104">
        <f>(1.3*B18)+1.5*(C18+D18)</f>
        <v>10.493600000000002</v>
      </c>
      <c r="F18" s="104">
        <f>(B18+C18)+0.3*D18</f>
        <v>8.072000000000001</v>
      </c>
    </row>
    <row r="19" spans="1:15" x14ac:dyDescent="0.25">
      <c r="A19" t="s">
        <v>369</v>
      </c>
      <c r="B19">
        <f>B6</f>
        <v>4.0999999999999996</v>
      </c>
      <c r="C19">
        <v>0</v>
      </c>
      <c r="D19">
        <v>0</v>
      </c>
      <c r="E19" s="104">
        <f>(1.3*B19)+1.5*(C19+D19)</f>
        <v>5.33</v>
      </c>
      <c r="F19" s="104">
        <f>(B19+C19)+0.3*D19</f>
        <v>4.0999999999999996</v>
      </c>
    </row>
    <row r="21" spans="1:15" x14ac:dyDescent="0.25">
      <c r="E21" s="104">
        <f>SUM(E16:E19)</f>
        <v>73.592600000000004</v>
      </c>
      <c r="F21" s="104">
        <f>SUM(F16:F19)</f>
        <v>42.002000000000002</v>
      </c>
    </row>
    <row r="22" spans="1:15" x14ac:dyDescent="0.25">
      <c r="A22" s="124" t="s">
        <v>371</v>
      </c>
      <c r="I22" t="s">
        <v>51</v>
      </c>
      <c r="L22">
        <v>0.5</v>
      </c>
      <c r="N22" t="s">
        <v>370</v>
      </c>
      <c r="O22">
        <v>1</v>
      </c>
    </row>
    <row r="23" spans="1:15" x14ac:dyDescent="0.25">
      <c r="A23" t="s">
        <v>45</v>
      </c>
      <c r="B23">
        <f>B16</f>
        <v>2.81</v>
      </c>
      <c r="C23">
        <f>C16</f>
        <v>0.6</v>
      </c>
      <c r="D23" s="104">
        <f>D16</f>
        <v>1</v>
      </c>
      <c r="E23" s="104">
        <f>(1.3*B23)+1.5*(C23+D23)</f>
        <v>6.0530000000000008</v>
      </c>
      <c r="F23" s="104">
        <f>(B23+C23)+0.3*D23</f>
        <v>3.71</v>
      </c>
      <c r="I23" t="s">
        <v>363</v>
      </c>
      <c r="L23">
        <v>4</v>
      </c>
    </row>
    <row r="24" spans="1:15" x14ac:dyDescent="0.25">
      <c r="A24" t="s">
        <v>49</v>
      </c>
      <c r="B24">
        <f>B4</f>
        <v>21.32</v>
      </c>
      <c r="C24">
        <v>0</v>
      </c>
      <c r="D24" s="16">
        <f>D4</f>
        <v>16</v>
      </c>
      <c r="E24" s="104">
        <f>(((1.3*B24)+1.5*(C24+D24)))*0.75</f>
        <v>38.786999999999999</v>
      </c>
      <c r="F24" s="104">
        <f>((B24+C24)+0.3*D24)*0.75</f>
        <v>19.59</v>
      </c>
    </row>
    <row r="25" spans="1:15" x14ac:dyDescent="0.25">
      <c r="A25" t="s">
        <v>368</v>
      </c>
      <c r="B25" s="16">
        <f>B5</f>
        <v>8.072000000000001</v>
      </c>
      <c r="C25">
        <v>0</v>
      </c>
      <c r="D25">
        <v>0</v>
      </c>
      <c r="E25" s="104">
        <f>(((1.3*B25)+1.5*(C25+D25)))*0.75</f>
        <v>7.8702000000000023</v>
      </c>
      <c r="F25" s="104">
        <f t="shared" ref="F25:F26" si="1">(B25+C25)+0.3*D25</f>
        <v>8.072000000000001</v>
      </c>
    </row>
    <row r="26" spans="1:15" x14ac:dyDescent="0.25">
      <c r="A26" t="s">
        <v>369</v>
      </c>
      <c r="B26">
        <f>B19</f>
        <v>4.0999999999999996</v>
      </c>
      <c r="C26">
        <v>0</v>
      </c>
      <c r="D26">
        <v>0</v>
      </c>
      <c r="E26" s="104">
        <f>(((1.3*B26)+1.5*(C26+D26)))*0.75</f>
        <v>3.9975000000000001</v>
      </c>
      <c r="F26" s="104">
        <f t="shared" si="1"/>
        <v>4.0999999999999996</v>
      </c>
    </row>
    <row r="27" spans="1:15" x14ac:dyDescent="0.25">
      <c r="E27" s="104">
        <f>SUM(E23:E26)</f>
        <v>56.70770000000001</v>
      </c>
      <c r="F27" s="104">
        <f>SUM(F23:F26)</f>
        <v>35.472000000000001</v>
      </c>
    </row>
    <row r="29" spans="1:15" x14ac:dyDescent="0.25">
      <c r="A29" s="124" t="s">
        <v>372</v>
      </c>
    </row>
    <row r="30" spans="1:15" x14ac:dyDescent="0.25">
      <c r="A30" t="s">
        <v>45</v>
      </c>
      <c r="B30">
        <f>'carichi unitari 2'!B3*L30</f>
        <v>15.174000000000001</v>
      </c>
      <c r="C30">
        <f>'carichi unitari 2'!B10*L30</f>
        <v>3.24</v>
      </c>
      <c r="D30" s="104">
        <f>'carichi unitari 2'!C3*L30</f>
        <v>5.4</v>
      </c>
      <c r="E30" s="104">
        <f>1.3*B30+(C30+D30)*1.5</f>
        <v>32.686199999999999</v>
      </c>
      <c r="F30" s="104">
        <f>(B30+C30)+0.3*D30</f>
        <v>20.034000000000002</v>
      </c>
      <c r="I30" t="s">
        <v>58</v>
      </c>
      <c r="L30">
        <v>2.7</v>
      </c>
      <c r="N30" t="s">
        <v>362</v>
      </c>
      <c r="O30">
        <v>1</v>
      </c>
    </row>
    <row r="31" spans="1:15" x14ac:dyDescent="0.25">
      <c r="A31" t="s">
        <v>49</v>
      </c>
      <c r="B31">
        <f>'carichi unitari 2'!B4*L31</f>
        <v>10.66</v>
      </c>
      <c r="C31">
        <v>0</v>
      </c>
      <c r="D31" s="16">
        <f>'carichi unitari 2'!C4*L31</f>
        <v>8</v>
      </c>
      <c r="E31" s="104">
        <f t="shared" ref="E31:E33" si="2">1.3*B31+(C31+D31)*1.5</f>
        <v>25.858000000000001</v>
      </c>
      <c r="F31" s="104">
        <f t="shared" ref="F31:F33" si="3">(B31+C31)+0.3*D31</f>
        <v>13.06</v>
      </c>
      <c r="I31" t="s">
        <v>363</v>
      </c>
      <c r="L31">
        <v>2</v>
      </c>
    </row>
    <row r="32" spans="1:15" x14ac:dyDescent="0.25">
      <c r="A32" t="s">
        <v>368</v>
      </c>
      <c r="B32" s="16">
        <f>B25</f>
        <v>8.072000000000001</v>
      </c>
      <c r="C32">
        <v>0</v>
      </c>
      <c r="D32">
        <v>0</v>
      </c>
      <c r="E32" s="104">
        <f t="shared" si="2"/>
        <v>10.493600000000002</v>
      </c>
      <c r="F32" s="104">
        <f t="shared" si="3"/>
        <v>8.072000000000001</v>
      </c>
    </row>
    <row r="33" spans="1:15" x14ac:dyDescent="0.25">
      <c r="A33" t="s">
        <v>369</v>
      </c>
      <c r="B33">
        <f>B26</f>
        <v>4.0999999999999996</v>
      </c>
      <c r="C33">
        <v>0</v>
      </c>
      <c r="D33">
        <v>0</v>
      </c>
      <c r="E33" s="104">
        <f t="shared" si="2"/>
        <v>5.33</v>
      </c>
      <c r="F33" s="104">
        <f t="shared" si="3"/>
        <v>4.0999999999999996</v>
      </c>
    </row>
    <row r="35" spans="1:15" x14ac:dyDescent="0.25">
      <c r="E35" s="104">
        <f>SUM(E30:E33)</f>
        <v>74.367800000000003</v>
      </c>
      <c r="F35" s="104">
        <f>SUM(F30:F33)</f>
        <v>45.266000000000005</v>
      </c>
    </row>
    <row r="38" spans="1:15" x14ac:dyDescent="0.25">
      <c r="A38" s="124" t="s">
        <v>373</v>
      </c>
      <c r="I38" t="s">
        <v>374</v>
      </c>
      <c r="L38">
        <v>2.7</v>
      </c>
      <c r="N38" t="s">
        <v>362</v>
      </c>
      <c r="O38">
        <v>1</v>
      </c>
    </row>
    <row r="39" spans="1:15" x14ac:dyDescent="0.25">
      <c r="A39" t="s">
        <v>45</v>
      </c>
      <c r="B39">
        <f>'carichi unitari 2'!B3*'  carichi piano tipo'!L38</f>
        <v>15.174000000000001</v>
      </c>
      <c r="C39">
        <f>'carichi unitari 2'!B10*'  carichi piano tipo'!L38</f>
        <v>3.24</v>
      </c>
      <c r="D39" s="104">
        <f>L38*'carichi unitari 2'!C3</f>
        <v>5.4</v>
      </c>
      <c r="E39" s="104">
        <f>1.3*B39+(C39+D39)*1.5</f>
        <v>32.686199999999999</v>
      </c>
      <c r="F39" s="104">
        <f>(B39+C39)+0.3*D39</f>
        <v>20.034000000000002</v>
      </c>
      <c r="I39" t="s">
        <v>363</v>
      </c>
      <c r="L39">
        <v>2</v>
      </c>
    </row>
    <row r="40" spans="1:15" x14ac:dyDescent="0.25">
      <c r="A40" t="s">
        <v>49</v>
      </c>
      <c r="B40">
        <f>'carichi unitari 2'!B4*L39</f>
        <v>10.66</v>
      </c>
      <c r="C40">
        <v>0</v>
      </c>
      <c r="D40" s="16">
        <f>D31</f>
        <v>8</v>
      </c>
      <c r="E40" s="104">
        <f>(1.3*B40+(C40+D40)*1.5)*0.5</f>
        <v>12.929</v>
      </c>
      <c r="F40" s="104">
        <f>((B40+C40)+0.3*D40)*0.5</f>
        <v>6.53</v>
      </c>
    </row>
    <row r="41" spans="1:15" x14ac:dyDescent="0.25">
      <c r="A41" t="s">
        <v>368</v>
      </c>
      <c r="B41" s="16">
        <f>B32</f>
        <v>8.072000000000001</v>
      </c>
      <c r="C41">
        <v>0</v>
      </c>
      <c r="D41">
        <v>0</v>
      </c>
      <c r="E41" s="104">
        <f t="shared" ref="E41:E42" si="4">(1.3*B41+(C41+D41)*1.5)*0.5</f>
        <v>5.2468000000000012</v>
      </c>
      <c r="F41" s="104">
        <f t="shared" ref="F41:F42" si="5">(B41+C41)+0.3*D41</f>
        <v>8.072000000000001</v>
      </c>
    </row>
    <row r="42" spans="1:15" x14ac:dyDescent="0.25">
      <c r="A42" t="s">
        <v>369</v>
      </c>
      <c r="B42">
        <f>B33</f>
        <v>4.0999999999999996</v>
      </c>
      <c r="C42">
        <v>0</v>
      </c>
      <c r="D42">
        <v>0</v>
      </c>
      <c r="E42" s="104">
        <f t="shared" si="4"/>
        <v>2.665</v>
      </c>
      <c r="F42" s="104">
        <f t="shared" si="5"/>
        <v>4.0999999999999996</v>
      </c>
    </row>
    <row r="43" spans="1:15" x14ac:dyDescent="0.25">
      <c r="E43" s="104">
        <f>SUM(E39:E42)</f>
        <v>53.527000000000001</v>
      </c>
      <c r="F43" s="104">
        <f>SUM(F39:F42)</f>
        <v>38.736000000000004</v>
      </c>
    </row>
    <row r="46" spans="1:15" x14ac:dyDescent="0.25">
      <c r="A46" s="124" t="s">
        <v>375</v>
      </c>
    </row>
    <row r="47" spans="1:15" x14ac:dyDescent="0.25">
      <c r="A47" t="s">
        <v>45</v>
      </c>
      <c r="B47">
        <f>'carichi unitari 2'!B3*K47</f>
        <v>2.81</v>
      </c>
      <c r="C47">
        <f>'carichi unitari 2'!B10*'  carichi piano tipo'!K47</f>
        <v>0.6</v>
      </c>
      <c r="D47" s="104">
        <f>K47*'carichi unitari 2'!C3</f>
        <v>1</v>
      </c>
      <c r="E47" s="104">
        <f>B47*1.3+(C47+D47)*1.5</f>
        <v>6.0530000000000008</v>
      </c>
      <c r="F47" s="104">
        <f>(B47+C47)+0.3*D47</f>
        <v>3.71</v>
      </c>
      <c r="I47" t="s">
        <v>374</v>
      </c>
      <c r="K47">
        <v>0.5</v>
      </c>
      <c r="N47" t="s">
        <v>362</v>
      </c>
      <c r="O47">
        <v>1</v>
      </c>
    </row>
    <row r="48" spans="1:15" x14ac:dyDescent="0.25">
      <c r="A48" t="s">
        <v>49</v>
      </c>
      <c r="B48">
        <f>'carichi unitari 2'!B4*'  carichi piano tipo'!K48</f>
        <v>21.32</v>
      </c>
      <c r="C48">
        <v>0</v>
      </c>
      <c r="D48" s="16">
        <f>'carichi unitari 2'!C4*K48</f>
        <v>16</v>
      </c>
      <c r="E48" s="104">
        <f>(B48*1.3+(C48+D48)*1.5)*0.5</f>
        <v>25.858000000000001</v>
      </c>
      <c r="F48" s="104">
        <f>((B48+C48)+0.3*D48)*0.5</f>
        <v>13.06</v>
      </c>
      <c r="I48" t="s">
        <v>376</v>
      </c>
      <c r="K48">
        <v>4</v>
      </c>
    </row>
    <row r="49" spans="1:15" x14ac:dyDescent="0.25">
      <c r="A49" t="s">
        <v>368</v>
      </c>
      <c r="B49" s="16">
        <f>B41</f>
        <v>8.072000000000001</v>
      </c>
      <c r="C49">
        <v>0</v>
      </c>
      <c r="D49">
        <v>0</v>
      </c>
      <c r="E49" s="104">
        <f t="shared" ref="E49:E50" si="6">B49*1.3+(C49+D49)*1.5</f>
        <v>10.493600000000002</v>
      </c>
      <c r="F49" s="104">
        <f t="shared" ref="F49:F50" si="7">(B49+C49)+0.3*D49</f>
        <v>8.072000000000001</v>
      </c>
    </row>
    <row r="50" spans="1:15" x14ac:dyDescent="0.25">
      <c r="A50" t="s">
        <v>369</v>
      </c>
      <c r="B50">
        <f>B42</f>
        <v>4.0999999999999996</v>
      </c>
      <c r="C50">
        <v>0</v>
      </c>
      <c r="D50">
        <v>0</v>
      </c>
      <c r="E50" s="104">
        <f t="shared" si="6"/>
        <v>5.33</v>
      </c>
      <c r="F50" s="104">
        <f t="shared" si="7"/>
        <v>4.0999999999999996</v>
      </c>
    </row>
    <row r="51" spans="1:15" x14ac:dyDescent="0.25">
      <c r="E51" s="104">
        <f>SUM(E47:E50)</f>
        <v>47.7346</v>
      </c>
      <c r="F51" s="104">
        <f>SUM(F47:F50)</f>
        <v>28.942</v>
      </c>
    </row>
    <row r="52" spans="1:15" x14ac:dyDescent="0.25">
      <c r="A52" s="124" t="s">
        <v>377</v>
      </c>
      <c r="I52" t="s">
        <v>374</v>
      </c>
      <c r="K52">
        <v>3.5</v>
      </c>
      <c r="N52" t="s">
        <v>378</v>
      </c>
      <c r="O52">
        <v>1</v>
      </c>
    </row>
    <row r="53" spans="1:15" x14ac:dyDescent="0.25">
      <c r="A53" t="s">
        <v>45</v>
      </c>
      <c r="B53">
        <f>'carichi unitari 2'!B2*'  carichi piano tipo'!K52</f>
        <v>19.670000000000002</v>
      </c>
      <c r="C53">
        <f>1.2*K52</f>
        <v>4.2</v>
      </c>
      <c r="D53">
        <f>2*K52</f>
        <v>7</v>
      </c>
      <c r="E53">
        <f>B53*1.3+(C53+D53)*1.5</f>
        <v>42.370999999999995</v>
      </c>
      <c r="F53">
        <f>(B53+C53)+0.3*D53</f>
        <v>25.970000000000002</v>
      </c>
      <c r="I53" t="s">
        <v>363</v>
      </c>
      <c r="K53">
        <v>2</v>
      </c>
    </row>
    <row r="54" spans="1:15" x14ac:dyDescent="0.25">
      <c r="A54" t="s">
        <v>49</v>
      </c>
      <c r="B54">
        <f>'carichi unitari 2'!B4*'  carichi piano tipo'!K53</f>
        <v>10.66</v>
      </c>
      <c r="C54">
        <f>1.2*K53</f>
        <v>2.4</v>
      </c>
      <c r="D54">
        <f>4*K53</f>
        <v>8</v>
      </c>
      <c r="E54">
        <f t="shared" ref="E54:E56" si="8">B54*1.3+(C54+D54)*1.5</f>
        <v>29.458000000000002</v>
      </c>
      <c r="F54">
        <f t="shared" ref="F54:F56" si="9">(B54+C54)+0.3*D54</f>
        <v>15.46</v>
      </c>
    </row>
    <row r="55" spans="1:15" x14ac:dyDescent="0.25">
      <c r="A55" t="s">
        <v>368</v>
      </c>
      <c r="B55" s="16">
        <f>B49</f>
        <v>8.072000000000001</v>
      </c>
      <c r="C55">
        <v>0</v>
      </c>
      <c r="D55">
        <v>0</v>
      </c>
      <c r="E55">
        <f t="shared" si="8"/>
        <v>10.493600000000002</v>
      </c>
      <c r="F55">
        <f t="shared" si="9"/>
        <v>8.072000000000001</v>
      </c>
    </row>
    <row r="56" spans="1:15" x14ac:dyDescent="0.25">
      <c r="A56" t="s">
        <v>369</v>
      </c>
      <c r="B56">
        <f>B50</f>
        <v>4.0999999999999996</v>
      </c>
      <c r="C56">
        <v>0</v>
      </c>
      <c r="D56">
        <v>0</v>
      </c>
      <c r="E56">
        <f t="shared" si="8"/>
        <v>5.33</v>
      </c>
      <c r="F56">
        <f t="shared" si="9"/>
        <v>4.0999999999999996</v>
      </c>
    </row>
    <row r="57" spans="1:15" x14ac:dyDescent="0.25">
      <c r="E57">
        <f>SUM(E53:E56)</f>
        <v>87.652599999999993</v>
      </c>
      <c r="F57">
        <f>SUM(F53:F56)</f>
        <v>53.602000000000011</v>
      </c>
    </row>
    <row r="59" spans="1:15" x14ac:dyDescent="0.25">
      <c r="A59" s="124" t="s">
        <v>379</v>
      </c>
      <c r="I59" t="s">
        <v>374</v>
      </c>
      <c r="K59">
        <v>3.5</v>
      </c>
      <c r="N59" t="s">
        <v>378</v>
      </c>
      <c r="O59">
        <v>1</v>
      </c>
    </row>
    <row r="60" spans="1:15" x14ac:dyDescent="0.25">
      <c r="A60" t="s">
        <v>45</v>
      </c>
      <c r="B60">
        <f>'carichi unitari 2'!B2*K59</f>
        <v>19.670000000000002</v>
      </c>
      <c r="C60">
        <f>'carichi unitari 2'!B10*'  carichi piano tipo'!K59</f>
        <v>4.2</v>
      </c>
      <c r="D60" s="104">
        <f>'carichi unitari 2'!C3*'  carichi piano tipo'!K59</f>
        <v>7</v>
      </c>
      <c r="E60" s="104">
        <f>B60*1.3+(C60+D60)*1.5</f>
        <v>42.370999999999995</v>
      </c>
      <c r="F60" s="104">
        <f>(B60+C60)+0.3*D60</f>
        <v>25.970000000000002</v>
      </c>
      <c r="I60" t="s">
        <v>363</v>
      </c>
      <c r="K60">
        <v>2</v>
      </c>
    </row>
    <row r="61" spans="1:15" x14ac:dyDescent="0.25">
      <c r="A61" t="s">
        <v>49</v>
      </c>
      <c r="B61">
        <f>'carichi unitari 2'!B4*'  carichi piano tipo'!K60</f>
        <v>10.66</v>
      </c>
      <c r="C61">
        <f>'carichi unitari 2'!C10*'  carichi piano tipo'!K60</f>
        <v>0</v>
      </c>
      <c r="D61">
        <f>'carichi unitari 2'!C4*'  carichi piano tipo'!K60</f>
        <v>8</v>
      </c>
      <c r="E61" s="104">
        <f>(B61*1.3+(C61+D61)*1.5)*0.7</f>
        <v>18.1006</v>
      </c>
      <c r="F61" s="104">
        <f>((B61+C61)+0.3*D61)*0.7</f>
        <v>9.1419999999999995</v>
      </c>
    </row>
    <row r="62" spans="1:15" x14ac:dyDescent="0.25">
      <c r="A62" t="s">
        <v>368</v>
      </c>
      <c r="B62" s="16">
        <f>0.8*'carichi unitari 2'!B6</f>
        <v>8.072000000000001</v>
      </c>
      <c r="C62">
        <v>0</v>
      </c>
      <c r="D62">
        <v>0</v>
      </c>
      <c r="E62" s="104">
        <f t="shared" ref="E62:E63" si="10">B62*1.3+(C62+D62)*1.5</f>
        <v>10.493600000000002</v>
      </c>
      <c r="F62" s="104">
        <f t="shared" ref="F62:F63" si="11">(B62+C62)+0.3*D62</f>
        <v>8.072000000000001</v>
      </c>
    </row>
    <row r="63" spans="1:15" x14ac:dyDescent="0.25">
      <c r="A63" t="s">
        <v>369</v>
      </c>
      <c r="B63">
        <f>'carichi unitari 2'!B8</f>
        <v>4.0999999999999996</v>
      </c>
      <c r="C63">
        <v>0</v>
      </c>
      <c r="D63">
        <v>0</v>
      </c>
      <c r="E63" s="104">
        <f t="shared" si="10"/>
        <v>5.33</v>
      </c>
      <c r="F63" s="104">
        <f t="shared" si="11"/>
        <v>4.0999999999999996</v>
      </c>
    </row>
    <row r="64" spans="1:15" x14ac:dyDescent="0.25">
      <c r="E64" s="104">
        <f>SUM(E60:E63)</f>
        <v>76.295199999999994</v>
      </c>
      <c r="F64" s="104">
        <f>SUM(F60:F63)</f>
        <v>47.284000000000006</v>
      </c>
    </row>
    <row r="65" spans="5:6" x14ac:dyDescent="0.25">
      <c r="E65" s="104"/>
      <c r="F65" s="10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78" zoomScaleNormal="78" workbookViewId="0">
      <selection activeCell="G10" sqref="G10"/>
    </sheetView>
  </sheetViews>
  <sheetFormatPr defaultRowHeight="15" x14ac:dyDescent="0.25"/>
  <cols>
    <col min="1" max="1" width="26.140625" customWidth="1"/>
    <col min="2" max="2" width="28.28515625" customWidth="1"/>
    <col min="3" max="3" width="18.42578125" customWidth="1"/>
    <col min="4" max="4" width="28.28515625" customWidth="1"/>
  </cols>
  <sheetData>
    <row r="1" spans="1:4" x14ac:dyDescent="0.25">
      <c r="A1" s="118" t="s">
        <v>317</v>
      </c>
      <c r="B1" s="118" t="s">
        <v>286</v>
      </c>
      <c r="C1" s="118" t="s">
        <v>315</v>
      </c>
      <c r="D1" s="118" t="s">
        <v>316</v>
      </c>
    </row>
    <row r="2" spans="1:4" x14ac:dyDescent="0.25">
      <c r="A2" s="62">
        <v>1</v>
      </c>
      <c r="B2" s="125" t="s">
        <v>396</v>
      </c>
      <c r="C2" s="119">
        <f>'carichi su travi 1 impalcato'!E6</f>
        <v>21.876600000000003</v>
      </c>
      <c r="D2" s="119">
        <f>'carichi su travi 1 impalcato'!F6</f>
        <v>15.882</v>
      </c>
    </row>
    <row r="3" spans="1:4" x14ac:dyDescent="0.25">
      <c r="A3" s="62"/>
      <c r="B3" s="2" t="s">
        <v>380</v>
      </c>
      <c r="C3" s="119">
        <f>'  carichi piano tipo'!E7</f>
        <v>73.592600000000004</v>
      </c>
      <c r="D3" s="119">
        <f>'  carichi piano tipo'!F7</f>
        <v>42.002000000000002</v>
      </c>
    </row>
    <row r="4" spans="1:4" x14ac:dyDescent="0.25">
      <c r="A4" s="62"/>
      <c r="B4" s="125" t="s">
        <v>381</v>
      </c>
      <c r="C4" s="119">
        <f>'  carichi piano tipo'!E13</f>
        <v>37.391399999999997</v>
      </c>
      <c r="D4" s="119">
        <f>'  carichi piano tipo'!F7</f>
        <v>42.002000000000002</v>
      </c>
    </row>
    <row r="5" spans="1:4" x14ac:dyDescent="0.25">
      <c r="A5" s="62">
        <v>2</v>
      </c>
      <c r="B5" s="62" t="s">
        <v>319</v>
      </c>
      <c r="C5" s="119">
        <f>'carichi su travi 1 impalcato'!E12</f>
        <v>18.191600000000001</v>
      </c>
      <c r="D5" s="119">
        <f>'carichi su travi 1 impalcato'!F12</f>
        <v>11.912000000000001</v>
      </c>
    </row>
    <row r="6" spans="1:4" x14ac:dyDescent="0.25">
      <c r="A6" s="62">
        <v>3</v>
      </c>
      <c r="B6" s="62" t="s">
        <v>320</v>
      </c>
      <c r="C6" s="119">
        <f>'carichi su travi 1 impalcato'!E12</f>
        <v>18.191600000000001</v>
      </c>
      <c r="D6" s="119">
        <f>'carichi su travi 1 impalcato'!F12</f>
        <v>11.912000000000001</v>
      </c>
    </row>
    <row r="7" spans="1:4" x14ac:dyDescent="0.25">
      <c r="A7" s="62"/>
      <c r="B7" s="62" t="s">
        <v>321</v>
      </c>
      <c r="C7" s="120">
        <f>'Riepilogo carichi primo impalca'!C5</f>
        <v>36.383000000000003</v>
      </c>
      <c r="D7" s="120">
        <f>'Riepilogo carichi primo impalca'!D5</f>
        <v>20.21</v>
      </c>
    </row>
    <row r="8" spans="1:4" x14ac:dyDescent="0.25">
      <c r="A8" s="62"/>
      <c r="B8" s="62" t="s">
        <v>322</v>
      </c>
      <c r="C8" s="120">
        <f>'carichi su travi 1 impalcato'!E20</f>
        <v>16.981000000000002</v>
      </c>
      <c r="D8" s="120">
        <f>'carichi su travi 1 impalcato'!F20</f>
        <v>11.17</v>
      </c>
    </row>
    <row r="9" spans="1:4" x14ac:dyDescent="0.25">
      <c r="A9" s="62">
        <v>4</v>
      </c>
      <c r="B9" s="2" t="s">
        <v>382</v>
      </c>
      <c r="C9" s="119">
        <f>'  carichi piano tipo'!E21</f>
        <v>73.592600000000004</v>
      </c>
      <c r="D9" s="119">
        <f>'  carichi piano tipo'!F21</f>
        <v>42.002000000000002</v>
      </c>
    </row>
    <row r="10" spans="1:4" x14ac:dyDescent="0.25">
      <c r="A10" s="62"/>
      <c r="B10" s="2" t="s">
        <v>383</v>
      </c>
      <c r="C10" s="119">
        <f>'  carichi piano tipo'!E27</f>
        <v>56.70770000000001</v>
      </c>
      <c r="D10" s="119">
        <f>'  carichi piano tipo'!F27</f>
        <v>35.472000000000001</v>
      </c>
    </row>
    <row r="11" spans="1:4" x14ac:dyDescent="0.25">
      <c r="A11" s="62">
        <v>5</v>
      </c>
      <c r="B11" s="62" t="s">
        <v>324</v>
      </c>
      <c r="C11" s="120">
        <f>'Riepilogo carichi primo impalca'!C8</f>
        <v>78.882999999999996</v>
      </c>
      <c r="D11" s="120">
        <f>'Riepilogo carichi primo impalca'!D8</f>
        <v>41.290000000000006</v>
      </c>
    </row>
    <row r="12" spans="1:4" x14ac:dyDescent="0.25">
      <c r="A12" s="62"/>
      <c r="B12" s="62" t="s">
        <v>325</v>
      </c>
      <c r="C12" s="119">
        <f>'carichi su travi 1 impalcato'!E26</f>
        <v>17.436</v>
      </c>
      <c r="D12" s="120">
        <f>'carichi su travi 1 impalcato'!F26</f>
        <v>11.52</v>
      </c>
    </row>
    <row r="13" spans="1:4" x14ac:dyDescent="0.25">
      <c r="A13" s="62">
        <v>6</v>
      </c>
      <c r="B13" s="62" t="s">
        <v>326</v>
      </c>
      <c r="C13" s="119">
        <f>'carichi su travi 1 impalcato'!E12</f>
        <v>18.191600000000001</v>
      </c>
      <c r="D13" s="119">
        <f>'carichi su travi 1 impalcato'!F12</f>
        <v>11.912000000000001</v>
      </c>
    </row>
    <row r="14" spans="1:4" x14ac:dyDescent="0.25">
      <c r="A14" s="62">
        <v>7</v>
      </c>
      <c r="B14" s="2" t="s">
        <v>387</v>
      </c>
      <c r="C14" s="119">
        <f>'carichi su travi 1 impalcato'!E6</f>
        <v>21.876600000000003</v>
      </c>
      <c r="D14" s="119">
        <f>'carichi su travi 1 impalcato'!F6</f>
        <v>15.882</v>
      </c>
    </row>
    <row r="15" spans="1:4" x14ac:dyDescent="0.25">
      <c r="A15" s="62"/>
      <c r="B15" s="2" t="s">
        <v>386</v>
      </c>
      <c r="C15" s="119">
        <f>'  carichi piano tipo'!E51</f>
        <v>47.7346</v>
      </c>
      <c r="D15" s="119">
        <f>'  carichi piano tipo'!F51</f>
        <v>28.942</v>
      </c>
    </row>
    <row r="16" spans="1:4" x14ac:dyDescent="0.25">
      <c r="A16" s="62">
        <v>8</v>
      </c>
      <c r="B16" s="62" t="s">
        <v>328</v>
      </c>
      <c r="C16" s="120">
        <f>'carichi su travi 1 impalcato'!E51</f>
        <v>49.115099999999998</v>
      </c>
      <c r="D16" s="120">
        <f>'carichi su travi 1 impalcato'!F51</f>
        <v>32.576999999999998</v>
      </c>
    </row>
    <row r="17" spans="1:4" x14ac:dyDescent="0.25">
      <c r="A17" s="62">
        <v>9</v>
      </c>
      <c r="B17" s="125" t="s">
        <v>388</v>
      </c>
      <c r="C17" s="120">
        <f>'carichi su travi 1 impalcato'!E58</f>
        <v>86.561260000000019</v>
      </c>
      <c r="D17" s="120">
        <f>'carichi su travi 1 impalcato'!F58</f>
        <v>53.888200000000012</v>
      </c>
    </row>
    <row r="18" spans="1:4" x14ac:dyDescent="0.25">
      <c r="A18" s="62"/>
      <c r="B18" s="62" t="s">
        <v>330</v>
      </c>
      <c r="C18" s="120">
        <f>'carichi su travi 1 impalcato'!E84</f>
        <v>86.10626000000002</v>
      </c>
      <c r="D18" s="120">
        <f>'carichi su travi 1 impalcato'!F84</f>
        <v>53.53820000000001</v>
      </c>
    </row>
    <row r="19" spans="1:4" x14ac:dyDescent="0.25">
      <c r="A19" s="62">
        <v>10</v>
      </c>
      <c r="B19" s="62" t="s">
        <v>331</v>
      </c>
      <c r="C19" s="120">
        <f>'carichi su travi 1 impalcato'!E65</f>
        <v>78.571299999999994</v>
      </c>
      <c r="D19" s="120">
        <f>'carichi su travi 1 impalcato'!F65</f>
        <v>48.991000000000007</v>
      </c>
    </row>
    <row r="20" spans="1:4" x14ac:dyDescent="0.25">
      <c r="A20" s="62"/>
      <c r="B20" s="62" t="s">
        <v>332</v>
      </c>
      <c r="C20" s="120">
        <f>'Riepilogo carichi primo impalca'!C16</f>
        <v>79.635100000000008</v>
      </c>
      <c r="D20" s="120">
        <f>'Riepilogo carichi primo impalca'!D16</f>
        <v>45.697000000000003</v>
      </c>
    </row>
    <row r="21" spans="1:4" x14ac:dyDescent="0.25">
      <c r="A21" s="62"/>
      <c r="B21" s="62" t="s">
        <v>333</v>
      </c>
      <c r="C21" s="119">
        <f>'Riepilogo carichi primo impalca'!C17</f>
        <v>15.823600000000003</v>
      </c>
      <c r="D21" s="122">
        <f>'Riepilogo carichi primo impalca'!D17</f>
        <v>12.172000000000001</v>
      </c>
    </row>
    <row r="22" spans="1:4" x14ac:dyDescent="0.25">
      <c r="A22" s="62"/>
      <c r="B22" s="2" t="s">
        <v>384</v>
      </c>
      <c r="C22" s="120">
        <f>'  carichi piano tipo'!E43</f>
        <v>53.527000000000001</v>
      </c>
      <c r="D22" s="120">
        <f>'  carichi piano tipo'!F43</f>
        <v>38.736000000000004</v>
      </c>
    </row>
    <row r="23" spans="1:4" x14ac:dyDescent="0.25">
      <c r="A23" s="62"/>
      <c r="B23" s="2" t="s">
        <v>385</v>
      </c>
      <c r="C23" s="120">
        <f>'  carichi piano tipo'!E35</f>
        <v>74.367800000000003</v>
      </c>
      <c r="D23" s="120">
        <f>'  carichi piano tipo'!F35</f>
        <v>45.266000000000005</v>
      </c>
    </row>
    <row r="24" spans="1:4" x14ac:dyDescent="0.25">
      <c r="A24" s="62">
        <v>11</v>
      </c>
      <c r="B24" s="62" t="s">
        <v>337</v>
      </c>
      <c r="C24" s="120">
        <f>'carichi su travi 1 impalcato'!E71</f>
        <v>87.892920000000018</v>
      </c>
      <c r="D24" s="120">
        <f>'carichi su travi 1 impalcato'!F71</f>
        <v>54.704400000000007</v>
      </c>
    </row>
    <row r="25" spans="1:4" x14ac:dyDescent="0.25">
      <c r="A25" s="62"/>
      <c r="B25" s="62" t="s">
        <v>338</v>
      </c>
      <c r="C25" s="120">
        <f>'Riepilogo carichi primo impalca'!C20</f>
        <v>78.571300000000008</v>
      </c>
      <c r="D25" s="120">
        <f>'Riepilogo carichi primo impalca'!D20</f>
        <v>48.991000000000007</v>
      </c>
    </row>
    <row r="26" spans="1:4" x14ac:dyDescent="0.25">
      <c r="A26" s="62">
        <v>12</v>
      </c>
      <c r="B26" s="2" t="s">
        <v>390</v>
      </c>
      <c r="C26" s="120">
        <f>'carichi su travi 1 impalcato'!E78</f>
        <v>58.194599999999994</v>
      </c>
      <c r="D26" s="120">
        <f>'carichi su travi 1 impalcato'!F78</f>
        <v>38.142000000000003</v>
      </c>
    </row>
    <row r="27" spans="1:4" x14ac:dyDescent="0.25">
      <c r="A27" s="62"/>
      <c r="B27" s="2" t="s">
        <v>389</v>
      </c>
      <c r="C27" s="120">
        <f>'  carichi piano tipo'!E57</f>
        <v>87.652599999999993</v>
      </c>
      <c r="D27" s="120">
        <f>'  carichi piano tipo'!F57</f>
        <v>53.602000000000011</v>
      </c>
    </row>
    <row r="28" spans="1:4" x14ac:dyDescent="0.25">
      <c r="A28" s="7"/>
      <c r="B28" s="2" t="s">
        <v>391</v>
      </c>
      <c r="C28" s="103">
        <f>'  carichi piano tipo'!E64</f>
        <v>76.295199999999994</v>
      </c>
      <c r="D28" s="103">
        <f>'  carichi piano tipo'!F64</f>
        <v>47.284000000000006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="69" zoomScaleNormal="69" workbookViewId="0">
      <selection activeCell="D49" sqref="D49"/>
    </sheetView>
  </sheetViews>
  <sheetFormatPr defaultRowHeight="15" x14ac:dyDescent="0.25"/>
  <cols>
    <col min="1" max="1" width="24.28515625" customWidth="1"/>
    <col min="2" max="2" width="24.5703125" customWidth="1"/>
    <col min="3" max="4" width="18.42578125" customWidth="1"/>
    <col min="5" max="5" width="23.42578125" customWidth="1"/>
    <col min="6" max="6" width="26.140625" customWidth="1"/>
    <col min="8" max="8" width="19.85546875" customWidth="1"/>
    <col min="9" max="9" width="15.140625" customWidth="1"/>
    <col min="10" max="10" width="13.42578125" customWidth="1"/>
  </cols>
  <sheetData>
    <row r="1" spans="1:9" x14ac:dyDescent="0.25">
      <c r="A1" s="126" t="s">
        <v>290</v>
      </c>
      <c r="B1" s="127" t="s">
        <v>18</v>
      </c>
      <c r="C1" s="127" t="s">
        <v>294</v>
      </c>
      <c r="D1" s="127" t="s">
        <v>296</v>
      </c>
      <c r="E1" s="127" t="s">
        <v>288</v>
      </c>
      <c r="F1" s="127" t="s">
        <v>287</v>
      </c>
    </row>
    <row r="2" spans="1:9" x14ac:dyDescent="0.25">
      <c r="A2" s="124" t="s">
        <v>297</v>
      </c>
      <c r="B2" s="124"/>
      <c r="C2" s="124" t="s">
        <v>299</v>
      </c>
      <c r="H2" t="s">
        <v>291</v>
      </c>
      <c r="I2" t="s">
        <v>50</v>
      </c>
    </row>
    <row r="3" spans="1:9" x14ac:dyDescent="0.25">
      <c r="A3" t="s">
        <v>434</v>
      </c>
      <c r="B3">
        <f>'carichi unitari 2'!B2*H3</f>
        <v>2.81</v>
      </c>
      <c r="C3">
        <f>1.2*H3</f>
        <v>0.6</v>
      </c>
      <c r="D3">
        <f>2*H3</f>
        <v>1</v>
      </c>
      <c r="E3">
        <f>B3*1.3+C3*1.5+D3*1.5</f>
        <v>6.0529999999999999</v>
      </c>
      <c r="F3">
        <f>(B3+C3)+0.3*D3</f>
        <v>3.71</v>
      </c>
      <c r="H3">
        <v>0.5</v>
      </c>
      <c r="I3">
        <v>1</v>
      </c>
    </row>
    <row r="4" spans="1:9" x14ac:dyDescent="0.25">
      <c r="A4" t="s">
        <v>433</v>
      </c>
      <c r="B4">
        <f>'carichi unitari 2'!B12*H4</f>
        <v>2.5634999999999999</v>
      </c>
      <c r="C4">
        <v>0</v>
      </c>
      <c r="D4" s="16">
        <f>'carichi unitari 2'!C12*H4</f>
        <v>1.47</v>
      </c>
      <c r="E4">
        <f>B4*1.3+C4*1.5+D4*1.5</f>
        <v>5.5375499999999995</v>
      </c>
      <c r="F4">
        <f>(B4+C4)+0.3*D4</f>
        <v>3.0044999999999997</v>
      </c>
      <c r="H4">
        <v>0.5</v>
      </c>
    </row>
    <row r="5" spans="1:9" x14ac:dyDescent="0.25">
      <c r="A5" t="s">
        <v>422</v>
      </c>
      <c r="B5">
        <f>'carichi unitari 2'!B14</f>
        <v>3.35</v>
      </c>
      <c r="C5">
        <v>0</v>
      </c>
      <c r="D5">
        <v>0</v>
      </c>
      <c r="E5">
        <f t="shared" ref="E5:E6" si="0">B5*1.3+C5*1.5+D5*1.5</f>
        <v>4.3550000000000004</v>
      </c>
      <c r="F5">
        <f t="shared" ref="F5:F6" si="1">(B5+C5)+0.3*D5</f>
        <v>3.35</v>
      </c>
    </row>
    <row r="6" spans="1:9" x14ac:dyDescent="0.25">
      <c r="A6" t="s">
        <v>280</v>
      </c>
      <c r="B6">
        <f>'carichi unitari 2'!B11*H6</f>
        <v>1.17</v>
      </c>
      <c r="C6">
        <v>0</v>
      </c>
      <c r="D6">
        <f>'carichi unitari 2'!C12*'carichi su travi utimo'!H6</f>
        <v>0.88200000000000001</v>
      </c>
      <c r="E6">
        <f t="shared" si="0"/>
        <v>2.8439999999999999</v>
      </c>
      <c r="F6">
        <f t="shared" si="1"/>
        <v>1.4345999999999999</v>
      </c>
      <c r="H6">
        <v>0.3</v>
      </c>
    </row>
    <row r="7" spans="1:9" x14ac:dyDescent="0.25">
      <c r="A7" t="s">
        <v>30</v>
      </c>
      <c r="E7" s="15">
        <f>SUM(E3+E4+E5+E6)</f>
        <v>18.789550000000002</v>
      </c>
      <c r="F7" s="15">
        <f>SUM(F3+F4+F5+F6)</f>
        <v>11.499099999999999</v>
      </c>
    </row>
    <row r="9" spans="1:9" x14ac:dyDescent="0.25">
      <c r="A9" s="124" t="s">
        <v>431</v>
      </c>
      <c r="B9" s="124"/>
    </row>
    <row r="10" spans="1:9" x14ac:dyDescent="0.25">
      <c r="A10" t="s">
        <v>292</v>
      </c>
      <c r="B10">
        <f>'carichi unitari 2'!B2*H10*I10</f>
        <v>3.0910000000000002</v>
      </c>
      <c r="C10">
        <f>'carichi unitari 2'!B10*'carichi su travi utimo'!H10*'carichi su travi utimo'!I10</f>
        <v>0.66</v>
      </c>
      <c r="D10">
        <f>'carichi unitari 2'!C3*'carichi su travi utimo'!H10*'carichi su travi utimo'!I10</f>
        <v>1.1000000000000001</v>
      </c>
      <c r="E10">
        <f>B10*1.3+(C10+D10)*1.5</f>
        <v>6.6583000000000006</v>
      </c>
      <c r="F10">
        <f>(B10+C10)+0.3*D10</f>
        <v>4.0810000000000004</v>
      </c>
      <c r="H10">
        <v>0.5</v>
      </c>
      <c r="I10">
        <v>1.1000000000000001</v>
      </c>
    </row>
    <row r="11" spans="1:9" x14ac:dyDescent="0.25">
      <c r="A11" t="s">
        <v>293</v>
      </c>
      <c r="B11">
        <f>'carichi unitari 2'!B2*H10*I10</f>
        <v>3.0910000000000002</v>
      </c>
      <c r="C11">
        <v>0.66</v>
      </c>
      <c r="D11">
        <v>1.1000000000000001</v>
      </c>
      <c r="E11">
        <f>B11*1.3+(C11+D11)*1.5</f>
        <v>6.6583000000000006</v>
      </c>
      <c r="F11">
        <f t="shared" ref="F11" si="2">(B11+C11)+0.3*D11</f>
        <v>4.0810000000000004</v>
      </c>
      <c r="H11">
        <v>0.5</v>
      </c>
    </row>
    <row r="12" spans="1:9" x14ac:dyDescent="0.25">
      <c r="A12" t="s">
        <v>420</v>
      </c>
      <c r="B12">
        <f>'carichi unitari 2'!B13</f>
        <v>3.05</v>
      </c>
      <c r="C12">
        <v>0</v>
      </c>
      <c r="D12">
        <v>0</v>
      </c>
      <c r="E12">
        <f>B12*1.3+D12*1.5</f>
        <v>3.9649999999999999</v>
      </c>
      <c r="F12">
        <f>(B12+C12)+0.3*D12</f>
        <v>3.05</v>
      </c>
    </row>
    <row r="13" spans="1:9" x14ac:dyDescent="0.25">
      <c r="A13" t="s">
        <v>30</v>
      </c>
      <c r="E13" s="15">
        <f>SUM(E10:E12)</f>
        <v>17.281600000000001</v>
      </c>
      <c r="F13" s="15">
        <f>SUM(F10:F12)</f>
        <v>11.212</v>
      </c>
    </row>
    <row r="16" spans="1:9" x14ac:dyDescent="0.25">
      <c r="A16" s="124" t="s">
        <v>428</v>
      </c>
    </row>
    <row r="17" spans="1:9" x14ac:dyDescent="0.25">
      <c r="A17" t="s">
        <v>292</v>
      </c>
      <c r="B17">
        <f>'carichi unitari 2'!B2*H17*I17</f>
        <v>2.81</v>
      </c>
      <c r="C17">
        <f>'carichi unitari 2'!B10*H17*I17</f>
        <v>0.6</v>
      </c>
      <c r="D17">
        <f>'carichi unitari 2'!C3*'carichi su travi utimo'!H17*'carichi su travi utimo'!I17</f>
        <v>1</v>
      </c>
      <c r="E17">
        <f>1.3*B17+(C17+D17)*1.5</f>
        <v>6.0530000000000008</v>
      </c>
      <c r="F17">
        <f>(B17+C17)+0.3*D17</f>
        <v>3.71</v>
      </c>
      <c r="H17">
        <v>0.5</v>
      </c>
      <c r="I17">
        <v>1</v>
      </c>
    </row>
    <row r="18" spans="1:9" x14ac:dyDescent="0.25">
      <c r="A18" t="s">
        <v>293</v>
      </c>
      <c r="B18">
        <f>B17</f>
        <v>2.81</v>
      </c>
      <c r="C18">
        <f>C17</f>
        <v>0.6</v>
      </c>
      <c r="D18">
        <f>D17</f>
        <v>1</v>
      </c>
      <c r="E18">
        <f>1.3*B18+(C18+D18)*1.5</f>
        <v>6.0530000000000008</v>
      </c>
      <c r="F18">
        <f>(B18+C18)+0.3*D18</f>
        <v>3.71</v>
      </c>
      <c r="H18">
        <v>0.5</v>
      </c>
    </row>
    <row r="19" spans="1:9" x14ac:dyDescent="0.25">
      <c r="A19" t="s">
        <v>420</v>
      </c>
      <c r="B19" s="96">
        <f>B12</f>
        <v>3.05</v>
      </c>
      <c r="C19">
        <v>0</v>
      </c>
      <c r="D19">
        <v>0</v>
      </c>
      <c r="E19">
        <f>1.3*B19+(C19+D19)*1.5</f>
        <v>3.9649999999999999</v>
      </c>
      <c r="F19">
        <f>(B19+C19)+0.3*D19</f>
        <v>3.05</v>
      </c>
    </row>
    <row r="20" spans="1:9" x14ac:dyDescent="0.25">
      <c r="A20" t="s">
        <v>30</v>
      </c>
    </row>
    <row r="21" spans="1:9" x14ac:dyDescent="0.25">
      <c r="E21" s="15">
        <f>SUM(E17:E19)</f>
        <v>16.071000000000002</v>
      </c>
      <c r="F21" s="15">
        <f>SUM(F17:F19)</f>
        <v>10.469999999999999</v>
      </c>
    </row>
    <row r="23" spans="1:9" x14ac:dyDescent="0.25">
      <c r="A23" s="124" t="s">
        <v>421</v>
      </c>
    </row>
    <row r="24" spans="1:9" x14ac:dyDescent="0.25">
      <c r="A24" t="s">
        <v>292</v>
      </c>
      <c r="B24">
        <f>'carichi unitari 2'!B2*H24*I24</f>
        <v>2.81</v>
      </c>
      <c r="C24">
        <f>'carichi unitari 2'!B10*'carichi su travi utimo'!H24*'carichi su travi utimo'!I24</f>
        <v>0.6</v>
      </c>
      <c r="D24">
        <f>'carichi unitari 2'!C3*'carichi su travi utimo'!H24*'carichi su travi utimo'!I24</f>
        <v>1</v>
      </c>
      <c r="E24">
        <f>1.3*B24+(C24+D24)*1.5</f>
        <v>6.0530000000000008</v>
      </c>
      <c r="F24">
        <f>(B24+C24)+0.3*D24</f>
        <v>3.71</v>
      </c>
      <c r="H24">
        <v>0.5</v>
      </c>
      <c r="I24">
        <v>1</v>
      </c>
    </row>
    <row r="25" spans="1:9" x14ac:dyDescent="0.25">
      <c r="A25" t="s">
        <v>293</v>
      </c>
      <c r="B25">
        <f>B24</f>
        <v>2.81</v>
      </c>
      <c r="C25">
        <f>C24</f>
        <v>0.6</v>
      </c>
      <c r="D25">
        <f>D24</f>
        <v>1</v>
      </c>
      <c r="E25">
        <f t="shared" ref="E25:E26" si="3">1.3*B25+(C25+D25)*1.5</f>
        <v>6.0530000000000008</v>
      </c>
      <c r="F25">
        <f t="shared" ref="F25:F26" si="4">(B25+C25)+0.3*D25</f>
        <v>3.71</v>
      </c>
      <c r="H25">
        <v>0.5</v>
      </c>
    </row>
    <row r="26" spans="1:9" x14ac:dyDescent="0.25">
      <c r="A26" t="s">
        <v>422</v>
      </c>
      <c r="B26">
        <f>'carichi unitari 2'!B14</f>
        <v>3.35</v>
      </c>
      <c r="C26">
        <v>0</v>
      </c>
      <c r="D26">
        <v>0</v>
      </c>
      <c r="E26">
        <f t="shared" si="3"/>
        <v>4.3550000000000004</v>
      </c>
      <c r="F26">
        <f t="shared" si="4"/>
        <v>3.35</v>
      </c>
    </row>
    <row r="27" spans="1:9" x14ac:dyDescent="0.25">
      <c r="A27" t="s">
        <v>30</v>
      </c>
      <c r="B27" s="96"/>
      <c r="E27" s="15">
        <f>SUM(E24:E26)</f>
        <v>16.461000000000002</v>
      </c>
      <c r="F27" s="15">
        <f>SUM(F24:F26)</f>
        <v>10.77</v>
      </c>
    </row>
    <row r="30" spans="1:9" x14ac:dyDescent="0.25">
      <c r="A30" s="124"/>
    </row>
    <row r="31" spans="1:9" x14ac:dyDescent="0.25">
      <c r="I31">
        <v>1</v>
      </c>
    </row>
    <row r="40" spans="1:9" x14ac:dyDescent="0.25">
      <c r="A40" s="124"/>
    </row>
    <row r="41" spans="1:9" x14ac:dyDescent="0.25">
      <c r="I41">
        <v>1</v>
      </c>
    </row>
    <row r="47" spans="1:9" x14ac:dyDescent="0.25">
      <c r="A47" s="124" t="s">
        <v>309</v>
      </c>
    </row>
    <row r="48" spans="1:9" x14ac:dyDescent="0.25">
      <c r="A48" t="s">
        <v>434</v>
      </c>
      <c r="B48">
        <f>'carichi unitari 2'!$B$2*H48*I48</f>
        <v>15.455</v>
      </c>
      <c r="C48">
        <f>'carichi unitari 2'!$B$10*'carichi su travi utimo'!H48*'carichi su travi utimo'!I48</f>
        <v>3.3</v>
      </c>
      <c r="D48">
        <f>'carichi unitari 2'!$C$3*'carichi su travi utimo'!H48*'carichi su travi utimo'!I48</f>
        <v>5.5</v>
      </c>
      <c r="E48">
        <f>1.3*B48+(C48+D48)*1.5</f>
        <v>33.291499999999999</v>
      </c>
      <c r="F48">
        <f>B48+C48+0.3*D48</f>
        <v>20.404999999999998</v>
      </c>
      <c r="H48">
        <f>5.5/2</f>
        <v>2.75</v>
      </c>
      <c r="I48">
        <v>1</v>
      </c>
    </row>
    <row r="49" spans="1:9" x14ac:dyDescent="0.25">
      <c r="A49" t="s">
        <v>433</v>
      </c>
      <c r="B49">
        <f>'carichi unitari 2'!B12*H48</f>
        <v>14.09925</v>
      </c>
      <c r="C49">
        <v>0</v>
      </c>
      <c r="D49">
        <f>'carichi unitari 2'!C12*'carichi su travi utimo'!H49</f>
        <v>8.0849999999999991</v>
      </c>
      <c r="E49">
        <f>1.3*B49+(C49+D49)*1.5</f>
        <v>30.456524999999999</v>
      </c>
      <c r="F49">
        <f>B49+C49+0.3*D49</f>
        <v>16.524749999999997</v>
      </c>
      <c r="H49">
        <v>2.75</v>
      </c>
    </row>
    <row r="50" spans="1:9" x14ac:dyDescent="0.25">
      <c r="A50" t="s">
        <v>422</v>
      </c>
      <c r="B50">
        <f>'carichi unitari 2'!B14</f>
        <v>3.35</v>
      </c>
      <c r="C50">
        <v>0</v>
      </c>
      <c r="D50">
        <v>0</v>
      </c>
      <c r="E50">
        <f>1.3*B50+(C50+D50)*1.5</f>
        <v>4.3550000000000004</v>
      </c>
      <c r="F50">
        <f>B50+C50+0.3*D50</f>
        <v>3.35</v>
      </c>
    </row>
    <row r="51" spans="1:9" x14ac:dyDescent="0.25">
      <c r="A51" t="s">
        <v>280</v>
      </c>
      <c r="B51">
        <f>'carichi unitari 2'!B11*0.3</f>
        <v>1.17</v>
      </c>
      <c r="C51">
        <v>0</v>
      </c>
      <c r="D51">
        <f>'carichi unitari 2'!C11*0.3</f>
        <v>0.15</v>
      </c>
      <c r="E51">
        <f>1.3*B51+(C51+D51)*1.5</f>
        <v>1.746</v>
      </c>
      <c r="F51">
        <f>B51+C51+0.3*D51</f>
        <v>1.2149999999999999</v>
      </c>
      <c r="H51">
        <v>0.3</v>
      </c>
    </row>
    <row r="52" spans="1:9" x14ac:dyDescent="0.25">
      <c r="A52" t="s">
        <v>30</v>
      </c>
      <c r="E52" s="15">
        <f>SUM(E48:E51)</f>
        <v>69.849024999999997</v>
      </c>
      <c r="F52" s="15">
        <f>SUM(F48:F51)</f>
        <v>41.494749999999996</v>
      </c>
    </row>
    <row r="55" spans="1:9" x14ac:dyDescent="0.25">
      <c r="A55" s="124" t="s">
        <v>303</v>
      </c>
    </row>
    <row r="56" spans="1:9" x14ac:dyDescent="0.25">
      <c r="A56" t="s">
        <v>304</v>
      </c>
      <c r="B56">
        <f>'carichi unitari 2'!$B$2*H56*I56</f>
        <v>17.000500000000002</v>
      </c>
      <c r="C56">
        <f>'carichi unitari 2'!$B$10*'carichi su travi utimo'!H56*'carichi su travi utimo'!I56</f>
        <v>3.63</v>
      </c>
      <c r="D56">
        <f>'carichi unitari 2'!$C$3*'carichi su travi utimo'!H56*'carichi su travi utimo'!I56</f>
        <v>6.0500000000000007</v>
      </c>
      <c r="E56">
        <f t="shared" ref="E56:E58" si="5">1.3*B56+(C56+D56)*1.5</f>
        <v>36.620650000000005</v>
      </c>
      <c r="F56">
        <f t="shared" ref="F56:F58" si="6">B56+C56+0.3*D56</f>
        <v>22.445500000000003</v>
      </c>
      <c r="H56">
        <f>H48</f>
        <v>2.75</v>
      </c>
      <c r="I56">
        <v>1.1000000000000001</v>
      </c>
    </row>
    <row r="57" spans="1:9" x14ac:dyDescent="0.25">
      <c r="A57" t="s">
        <v>305</v>
      </c>
      <c r="B57">
        <f>'carichi unitari 2'!$B$2*H57*I56</f>
        <v>20.709700000000005</v>
      </c>
      <c r="C57">
        <f>'carichi unitari 2'!$B$10*'carichi su travi utimo'!H57*'carichi su travi utimo'!I56</f>
        <v>4.4219999999999997</v>
      </c>
      <c r="D57">
        <f>'carichi unitari 2'!$C$3*'carichi su travi utimo'!H57*'carichi su travi utimo'!I56</f>
        <v>7.370000000000001</v>
      </c>
      <c r="E57">
        <f t="shared" si="5"/>
        <v>44.610610000000008</v>
      </c>
      <c r="F57">
        <f t="shared" si="6"/>
        <v>27.342700000000008</v>
      </c>
      <c r="H57">
        <f>6.7/2</f>
        <v>3.35</v>
      </c>
    </row>
    <row r="58" spans="1:9" x14ac:dyDescent="0.25">
      <c r="A58" t="s">
        <v>424</v>
      </c>
      <c r="B58">
        <f>'carichi unitari 2'!B14</f>
        <v>3.35</v>
      </c>
      <c r="C58">
        <f>0</f>
        <v>0</v>
      </c>
      <c r="D58">
        <v>0</v>
      </c>
      <c r="E58">
        <f t="shared" si="5"/>
        <v>4.3550000000000004</v>
      </c>
      <c r="F58">
        <f t="shared" si="6"/>
        <v>3.35</v>
      </c>
    </row>
    <row r="59" spans="1:9" x14ac:dyDescent="0.25">
      <c r="A59" t="s">
        <v>30</v>
      </c>
      <c r="E59" s="15">
        <f>SUM(E56+E57+E58)</f>
        <v>85.586260000000024</v>
      </c>
      <c r="F59" s="15">
        <f>SUM(F56:F58)</f>
        <v>53.138200000000012</v>
      </c>
    </row>
    <row r="62" spans="1:9" x14ac:dyDescent="0.25">
      <c r="A62" s="124" t="s">
        <v>426</v>
      </c>
    </row>
    <row r="63" spans="1:9" x14ac:dyDescent="0.25">
      <c r="A63" t="s">
        <v>304</v>
      </c>
      <c r="B63">
        <f>'carichi unitari 2'!$B$2*H63*I63</f>
        <v>18.827000000000002</v>
      </c>
      <c r="C63">
        <f>'carichi unitari 2'!$B$10*'carichi su travi utimo'!H63*'carichi su travi utimo'!I63</f>
        <v>4.0199999999999996</v>
      </c>
      <c r="D63">
        <f>'carichi unitari 2'!$C$3*'carichi su travi utimo'!H63*'carichi su travi utimo'!I63</f>
        <v>6.7</v>
      </c>
      <c r="E63">
        <f t="shared" ref="E63:E65" si="7">1.3*B63+(C63+D63)*1.5</f>
        <v>40.555100000000003</v>
      </c>
      <c r="F63">
        <f t="shared" ref="F63:F65" si="8">B63+C63+0.3*D63</f>
        <v>24.856999999999999</v>
      </c>
      <c r="H63">
        <f>H57</f>
        <v>3.35</v>
      </c>
      <c r="I63">
        <v>1</v>
      </c>
    </row>
    <row r="64" spans="1:9" x14ac:dyDescent="0.25">
      <c r="A64" t="s">
        <v>305</v>
      </c>
      <c r="B64">
        <f>'carichi unitari 2'!$B$2*H64*I63</f>
        <v>15.174000000000001</v>
      </c>
      <c r="C64">
        <f>'carichi unitari 2'!$B$10*'carichi su travi utimo'!H64*'carichi su travi utimo'!I63</f>
        <v>3.24</v>
      </c>
      <c r="D64">
        <f>'carichi unitari 2'!$C$3*'carichi su travi utimo'!H64*'carichi su travi utimo'!I63</f>
        <v>5.4</v>
      </c>
      <c r="E64">
        <f t="shared" si="7"/>
        <v>32.686199999999999</v>
      </c>
      <c r="F64">
        <f t="shared" si="8"/>
        <v>20.034000000000002</v>
      </c>
      <c r="H64">
        <f>5.4/2</f>
        <v>2.7</v>
      </c>
    </row>
    <row r="65" spans="1:9" x14ac:dyDescent="0.25">
      <c r="A65" t="s">
        <v>424</v>
      </c>
      <c r="B65">
        <f>'carichi unitari 2'!B14</f>
        <v>3.35</v>
      </c>
      <c r="C65">
        <f>0</f>
        <v>0</v>
      </c>
      <c r="D65">
        <v>0</v>
      </c>
      <c r="E65">
        <f t="shared" si="7"/>
        <v>4.3550000000000004</v>
      </c>
      <c r="F65">
        <f t="shared" si="8"/>
        <v>3.35</v>
      </c>
    </row>
    <row r="66" spans="1:9" x14ac:dyDescent="0.25">
      <c r="A66" t="s">
        <v>30</v>
      </c>
      <c r="B66" s="96"/>
      <c r="E66" s="15">
        <f>SUM(E63:E65)</f>
        <v>77.596299999999999</v>
      </c>
      <c r="F66" s="15">
        <f>SUM(F63:F65)</f>
        <v>48.241000000000007</v>
      </c>
    </row>
    <row r="68" spans="1:9" x14ac:dyDescent="0.25">
      <c r="A68" s="124" t="s">
        <v>425</v>
      </c>
      <c r="B68" s="124"/>
    </row>
    <row r="69" spans="1:9" x14ac:dyDescent="0.25">
      <c r="A69" t="s">
        <v>304</v>
      </c>
      <c r="B69">
        <f>'carichi unitari 2'!$B$2*H69*I69</f>
        <v>16.691400000000002</v>
      </c>
      <c r="C69">
        <f>'carichi unitari 2'!$B$10*'carichi su travi utimo'!H69*'carichi su travi utimo'!I69</f>
        <v>3.5640000000000005</v>
      </c>
      <c r="D69">
        <f>'carichi unitari 2'!$C$3*'carichi su travi utimo'!H69*'carichi su travi utimo'!I69</f>
        <v>5.9400000000000013</v>
      </c>
      <c r="E69">
        <f t="shared" ref="E69:E71" si="9">1.3*B69+(C69+D69)*1.5</f>
        <v>35.954820000000005</v>
      </c>
      <c r="F69">
        <f t="shared" ref="F69:F71" si="10">B69+C69+0.3*D69</f>
        <v>22.037400000000002</v>
      </c>
      <c r="H69">
        <f>H64</f>
        <v>2.7</v>
      </c>
      <c r="I69">
        <v>1.1000000000000001</v>
      </c>
    </row>
    <row r="70" spans="1:9" x14ac:dyDescent="0.25">
      <c r="A70" t="s">
        <v>305</v>
      </c>
      <c r="B70">
        <f>'carichi unitari 2'!$B$2*H70*I69</f>
        <v>21.637000000000004</v>
      </c>
      <c r="C70">
        <f>'carichi unitari 2'!$B$10*'carichi su travi utimo'!H70*'carichi su travi utimo'!I69</f>
        <v>4.620000000000001</v>
      </c>
      <c r="D70">
        <f>'carichi unitari 2'!$C$3*'carichi su travi utimo'!H70*'carichi su travi utimo'!I69</f>
        <v>7.7000000000000011</v>
      </c>
      <c r="E70">
        <f t="shared" si="9"/>
        <v>46.608100000000007</v>
      </c>
      <c r="F70">
        <f t="shared" si="10"/>
        <v>28.567000000000004</v>
      </c>
      <c r="H70">
        <f>3.5</f>
        <v>3.5</v>
      </c>
    </row>
    <row r="71" spans="1:9" x14ac:dyDescent="0.25">
      <c r="A71" t="s">
        <v>424</v>
      </c>
      <c r="B71">
        <f>B65</f>
        <v>3.35</v>
      </c>
      <c r="C71">
        <f>0</f>
        <v>0</v>
      </c>
      <c r="D71">
        <v>0</v>
      </c>
      <c r="E71">
        <f t="shared" si="9"/>
        <v>4.3550000000000004</v>
      </c>
      <c r="F71">
        <f t="shared" si="10"/>
        <v>3.35</v>
      </c>
    </row>
    <row r="72" spans="1:9" x14ac:dyDescent="0.25">
      <c r="A72" t="s">
        <v>30</v>
      </c>
      <c r="E72" s="15">
        <f>SUM(E69:E71)</f>
        <v>86.917920000000024</v>
      </c>
      <c r="F72" s="15">
        <f>SUM(F69:F71)</f>
        <v>53.954400000000007</v>
      </c>
    </row>
    <row r="74" spans="1:9" x14ac:dyDescent="0.25">
      <c r="A74" s="124" t="s">
        <v>311</v>
      </c>
      <c r="B74" s="124"/>
    </row>
    <row r="75" spans="1:9" x14ac:dyDescent="0.25">
      <c r="A75" t="s">
        <v>434</v>
      </c>
      <c r="B75">
        <f>'carichi unitari 2'!$B$2*H75*I75</f>
        <v>19.670000000000002</v>
      </c>
      <c r="C75">
        <f>'carichi unitari 2'!$B$10*'carichi su travi utimo'!H75*'carichi su travi utimo'!I75</f>
        <v>4.2</v>
      </c>
      <c r="D75">
        <f>'carichi unitari 2'!$C$3*'carichi su travi utimo'!H75*'carichi su travi utimo'!I75</f>
        <v>7</v>
      </c>
      <c r="E75">
        <f>1.3*B75+(C75+D75)*1.5</f>
        <v>42.370999999999995</v>
      </c>
      <c r="F75">
        <f>B75+C75+0.3*D75</f>
        <v>25.970000000000002</v>
      </c>
      <c r="H75">
        <v>3.5</v>
      </c>
      <c r="I75">
        <v>1</v>
      </c>
    </row>
    <row r="76" spans="1:9" x14ac:dyDescent="0.25">
      <c r="A76" t="s">
        <v>433</v>
      </c>
      <c r="B76">
        <f>'carichi unitari 2'!B12*H75</f>
        <v>17.944499999999998</v>
      </c>
      <c r="C76">
        <v>0</v>
      </c>
      <c r="D76">
        <f>'carichi unitari 2'!C12*'carichi su travi utimo'!H75</f>
        <v>10.29</v>
      </c>
      <c r="E76">
        <f>1.3*B76+(C76+D76)*1.5</f>
        <v>38.76285</v>
      </c>
      <c r="F76">
        <f>B76+C76+0.3*D76</f>
        <v>21.031499999999998</v>
      </c>
      <c r="H76">
        <v>3.5</v>
      </c>
    </row>
    <row r="77" spans="1:9" x14ac:dyDescent="0.25">
      <c r="A77" t="s">
        <v>424</v>
      </c>
      <c r="B77">
        <f>B71</f>
        <v>3.35</v>
      </c>
      <c r="C77">
        <v>0</v>
      </c>
      <c r="D77">
        <f>'carichi unitari 2'!C11*0.3</f>
        <v>0.15</v>
      </c>
      <c r="E77">
        <f>1.3*B77+(C77+D77)*1.5</f>
        <v>4.58</v>
      </c>
      <c r="F77">
        <f>B77+C77+0.3*D77</f>
        <v>3.395</v>
      </c>
      <c r="H77">
        <v>0.3</v>
      </c>
    </row>
    <row r="78" spans="1:9" x14ac:dyDescent="0.25">
      <c r="A78" t="s">
        <v>280</v>
      </c>
      <c r="B78">
        <f>'carichi unitari 2'!B11*0.3</f>
        <v>1.17</v>
      </c>
    </row>
    <row r="79" spans="1:9" x14ac:dyDescent="0.25">
      <c r="A79" t="s">
        <v>30</v>
      </c>
      <c r="E79" s="15">
        <f>SUM(E75:E77)</f>
        <v>85.713849999999994</v>
      </c>
      <c r="F79" s="15">
        <f>SUM(F75:F77)</f>
        <v>50.396500000000003</v>
      </c>
    </row>
    <row r="81" spans="1:9" x14ac:dyDescent="0.25">
      <c r="A81" s="124" t="s">
        <v>310</v>
      </c>
    </row>
    <row r="82" spans="1:9" x14ac:dyDescent="0.25">
      <c r="A82" t="s">
        <v>304</v>
      </c>
      <c r="B82">
        <f>'carichi unitari 2'!$B$2*H82*I82</f>
        <v>17.000500000000002</v>
      </c>
      <c r="C82">
        <f>'carichi unitari 2'!$B$10*'carichi su travi utimo'!H82*'carichi su travi utimo'!I82</f>
        <v>3.63</v>
      </c>
      <c r="D82">
        <f>'carichi unitari 2'!$C$3*'carichi su travi utimo'!H82*'carichi su travi utimo'!I82</f>
        <v>6.0500000000000007</v>
      </c>
      <c r="E82">
        <f t="shared" ref="E82:E84" si="11">1.3*B82+(C82+D82)*1.5</f>
        <v>36.620650000000005</v>
      </c>
      <c r="F82">
        <f t="shared" ref="F82:F84" si="12">B82+C82+0.3*D82</f>
        <v>22.445500000000003</v>
      </c>
      <c r="H82">
        <v>2.75</v>
      </c>
      <c r="I82">
        <v>1.1000000000000001</v>
      </c>
    </row>
    <row r="83" spans="1:9" x14ac:dyDescent="0.25">
      <c r="A83" t="s">
        <v>305</v>
      </c>
      <c r="B83">
        <f>'carichi unitari 2'!$B$2*H83*I82</f>
        <v>20.709700000000005</v>
      </c>
      <c r="C83">
        <f>'carichi unitari 2'!$B$10*'carichi su travi utimo'!H83*'carichi su travi utimo'!I82</f>
        <v>4.4219999999999997</v>
      </c>
      <c r="D83">
        <f>'carichi unitari 2'!$C$3*'carichi su travi utimo'!H83*'carichi su travi utimo'!I82</f>
        <v>7.370000000000001</v>
      </c>
      <c r="E83">
        <f t="shared" si="11"/>
        <v>44.610610000000008</v>
      </c>
      <c r="F83">
        <f t="shared" si="12"/>
        <v>27.342700000000008</v>
      </c>
      <c r="H83">
        <f>6.7/2</f>
        <v>3.35</v>
      </c>
    </row>
    <row r="84" spans="1:9" x14ac:dyDescent="0.25">
      <c r="A84" t="s">
        <v>423</v>
      </c>
      <c r="B84">
        <f>'carichi unitari 2'!B13</f>
        <v>3.05</v>
      </c>
      <c r="C84">
        <f>0</f>
        <v>0</v>
      </c>
      <c r="D84">
        <v>0</v>
      </c>
      <c r="E84">
        <f t="shared" si="11"/>
        <v>3.9649999999999999</v>
      </c>
      <c r="F84">
        <f t="shared" si="12"/>
        <v>3.05</v>
      </c>
    </row>
    <row r="85" spans="1:9" x14ac:dyDescent="0.25">
      <c r="A85" t="s">
        <v>30</v>
      </c>
      <c r="B85" s="96"/>
      <c r="E85" s="15">
        <f>SUM(E82:E84)</f>
        <v>85.196260000000024</v>
      </c>
      <c r="F85" s="15">
        <f>SUM(F82:F84)</f>
        <v>52.838200000000008</v>
      </c>
    </row>
    <row r="88" spans="1:9" x14ac:dyDescent="0.25">
      <c r="A88" s="124"/>
    </row>
    <row r="89" spans="1:9" x14ac:dyDescent="0.25">
      <c r="I89">
        <v>1.1000000000000001</v>
      </c>
    </row>
    <row r="95" spans="1:9" x14ac:dyDescent="0.25">
      <c r="A95" s="124"/>
    </row>
    <row r="96" spans="1:9" x14ac:dyDescent="0.25">
      <c r="I96">
        <v>1</v>
      </c>
    </row>
    <row r="102" spans="1:9" x14ac:dyDescent="0.25">
      <c r="A102" s="124" t="s">
        <v>314</v>
      </c>
    </row>
    <row r="103" spans="1:9" x14ac:dyDescent="0.25">
      <c r="A103" t="s">
        <v>434</v>
      </c>
      <c r="B103">
        <f>'carichi unitari 2'!$B$2*H103*I103</f>
        <v>15.174000000000001</v>
      </c>
      <c r="C103">
        <f>'carichi unitari 2'!$B$10*'carichi su travi utimo'!H103*'carichi su travi utimo'!I103</f>
        <v>3.24</v>
      </c>
      <c r="D103">
        <f>'carichi unitari 2'!$C$3*'carichi su travi utimo'!H103*'carichi su travi utimo'!I103</f>
        <v>5.4</v>
      </c>
      <c r="E103">
        <f>1.3*B103+(C103+D103)*1.5</f>
        <v>32.686199999999999</v>
      </c>
      <c r="F103">
        <f>B103+C103+0.3*D103</f>
        <v>20.034000000000002</v>
      </c>
      <c r="H103">
        <f>5.4/2</f>
        <v>2.7</v>
      </c>
      <c r="I103">
        <v>1</v>
      </c>
    </row>
    <row r="104" spans="1:9" x14ac:dyDescent="0.25">
      <c r="A104" t="s">
        <v>435</v>
      </c>
      <c r="B104">
        <f>'carichi unitari 2'!B12*2.7</f>
        <v>13.8429</v>
      </c>
      <c r="C104">
        <v>0</v>
      </c>
      <c r="D104">
        <f>'carichi unitari 2'!C12*2.7</f>
        <v>7.9380000000000006</v>
      </c>
      <c r="E104">
        <f>1.3*B104+(C104+D104)*1.5</f>
        <v>29.90277</v>
      </c>
      <c r="F104">
        <f>B104+C104+0.3*D104</f>
        <v>16.224299999999999</v>
      </c>
      <c r="H104">
        <v>2.7</v>
      </c>
    </row>
    <row r="105" spans="1:9" x14ac:dyDescent="0.25">
      <c r="A105" t="s">
        <v>422</v>
      </c>
      <c r="B105">
        <f>B77</f>
        <v>3.35</v>
      </c>
      <c r="C105">
        <v>0</v>
      </c>
      <c r="D105">
        <v>0</v>
      </c>
      <c r="E105">
        <f>1.3*B105+(C105+D105)*1.5</f>
        <v>4.3550000000000004</v>
      </c>
      <c r="F105">
        <f>B105+C105+0.3*D105</f>
        <v>3.35</v>
      </c>
    </row>
    <row r="106" spans="1:9" x14ac:dyDescent="0.25">
      <c r="A106" t="s">
        <v>280</v>
      </c>
      <c r="B106">
        <f>'carichi unitari 2'!B11*0.3</f>
        <v>1.17</v>
      </c>
      <c r="C106">
        <v>0</v>
      </c>
      <c r="D106">
        <f>'carichi unitari 2'!C11*0.3</f>
        <v>0.15</v>
      </c>
      <c r="E106">
        <f>1.3*B106+(C106+D106)*1.5</f>
        <v>1.746</v>
      </c>
      <c r="F106">
        <f>B106+C106+0.3*D106</f>
        <v>1.2149999999999999</v>
      </c>
      <c r="H106">
        <v>0.3</v>
      </c>
    </row>
    <row r="107" spans="1:9" x14ac:dyDescent="0.25">
      <c r="A107" t="s">
        <v>30</v>
      </c>
      <c r="E107" s="15">
        <f>SUM(E103:E106)</f>
        <v>68.689970000000002</v>
      </c>
      <c r="F107" s="15">
        <f>SUM(F103:F106)</f>
        <v>40.823300000000003</v>
      </c>
    </row>
    <row r="109" spans="1:9" x14ac:dyDescent="0.25">
      <c r="A109" s="124"/>
    </row>
    <row r="110" spans="1:9" x14ac:dyDescent="0.25">
      <c r="A110" s="124" t="s">
        <v>335</v>
      </c>
    </row>
    <row r="111" spans="1:9" x14ac:dyDescent="0.25">
      <c r="A111" t="s">
        <v>280</v>
      </c>
      <c r="B111">
        <f>'carichi unitari 2'!B11*0.3</f>
        <v>1.17</v>
      </c>
      <c r="C111">
        <v>0</v>
      </c>
      <c r="D111">
        <f>'carichi unitari 2'!C11*0.3</f>
        <v>0.15</v>
      </c>
      <c r="E111">
        <f>1.3*B111+(C111+D111)*1.5</f>
        <v>1.746</v>
      </c>
      <c r="F111">
        <f>(B111+C111)+0.3*D111</f>
        <v>1.2149999999999999</v>
      </c>
      <c r="H111">
        <v>0.3</v>
      </c>
    </row>
    <row r="112" spans="1:9" x14ac:dyDescent="0.25">
      <c r="A112" t="s">
        <v>422</v>
      </c>
      <c r="B112">
        <f>'carichi unitari 2'!B14</f>
        <v>3.35</v>
      </c>
      <c r="C112">
        <v>0</v>
      </c>
      <c r="D112">
        <v>0</v>
      </c>
      <c r="E112">
        <f>1.3*B112+(C112+D112)*1.5</f>
        <v>4.3550000000000004</v>
      </c>
      <c r="F112">
        <f>(B112+C112)+0.3*D112</f>
        <v>3.35</v>
      </c>
    </row>
    <row r="113" spans="5:6" x14ac:dyDescent="0.25">
      <c r="E113" s="15">
        <f>SUM(E111:E112)</f>
        <v>6.1010000000000009</v>
      </c>
      <c r="F113" s="15">
        <f>SUM(F111:F112)</f>
        <v>4.5649999999999995</v>
      </c>
    </row>
  </sheetData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13" workbookViewId="0">
      <selection activeCell="D22" sqref="D22"/>
    </sheetView>
  </sheetViews>
  <sheetFormatPr defaultRowHeight="15" x14ac:dyDescent="0.25"/>
  <cols>
    <col min="1" max="1" width="14.7109375" customWidth="1"/>
    <col min="2" max="2" width="21.7109375" customWidth="1"/>
    <col min="3" max="3" width="16.5703125" customWidth="1"/>
    <col min="4" max="4" width="21.5703125" customWidth="1"/>
  </cols>
  <sheetData>
    <row r="1" spans="1:4" x14ac:dyDescent="0.25">
      <c r="A1" s="118" t="s">
        <v>317</v>
      </c>
      <c r="B1" s="118" t="s">
        <v>286</v>
      </c>
      <c r="C1" s="118" t="s">
        <v>315</v>
      </c>
      <c r="D1" s="118" t="s">
        <v>316</v>
      </c>
    </row>
    <row r="2" spans="1:4" x14ac:dyDescent="0.25">
      <c r="A2" s="62">
        <v>1</v>
      </c>
      <c r="B2" s="125" t="s">
        <v>396</v>
      </c>
      <c r="C2" s="119">
        <f>'carichi su travi utimo'!E7</f>
        <v>18.789550000000002</v>
      </c>
      <c r="D2" s="119">
        <f>'carichi su travi utimo'!F7</f>
        <v>11.499099999999999</v>
      </c>
    </row>
    <row r="3" spans="1:4" x14ac:dyDescent="0.25">
      <c r="A3" s="62"/>
      <c r="B3" s="2" t="s">
        <v>380</v>
      </c>
      <c r="C3" s="119">
        <f>C2</f>
        <v>18.789550000000002</v>
      </c>
      <c r="D3" s="119">
        <f>D2</f>
        <v>11.499099999999999</v>
      </c>
    </row>
    <row r="4" spans="1:4" x14ac:dyDescent="0.25">
      <c r="A4" s="62"/>
      <c r="B4" s="125" t="s">
        <v>381</v>
      </c>
      <c r="C4" s="119">
        <f>C3</f>
        <v>18.789550000000002</v>
      </c>
      <c r="D4" s="119">
        <f>D3</f>
        <v>11.499099999999999</v>
      </c>
    </row>
    <row r="5" spans="1:4" x14ac:dyDescent="0.25">
      <c r="A5" s="62">
        <v>2</v>
      </c>
      <c r="B5" s="62" t="s">
        <v>319</v>
      </c>
      <c r="C5" s="119">
        <f>'carichi su travi utimo'!E13</f>
        <v>17.281600000000001</v>
      </c>
      <c r="D5" s="119">
        <f>'carichi su travi utimo'!F13</f>
        <v>11.212</v>
      </c>
    </row>
    <row r="6" spans="1:4" x14ac:dyDescent="0.25">
      <c r="A6" s="62">
        <v>3</v>
      </c>
      <c r="B6" s="2" t="s">
        <v>429</v>
      </c>
      <c r="C6" s="119">
        <f>'carichi su travi utimo'!E13</f>
        <v>17.281600000000001</v>
      </c>
      <c r="D6" s="119">
        <f>'carichi su travi utimo'!F13</f>
        <v>11.212</v>
      </c>
    </row>
    <row r="7" spans="1:4" x14ac:dyDescent="0.25">
      <c r="A7" s="62"/>
      <c r="B7" s="2" t="s">
        <v>427</v>
      </c>
      <c r="C7" s="120">
        <f>'carichi su travi utimo'!E21</f>
        <v>16.071000000000002</v>
      </c>
      <c r="D7" s="120">
        <f>'carichi su travi utimo'!F21</f>
        <v>10.469999999999999</v>
      </c>
    </row>
    <row r="8" spans="1:4" x14ac:dyDescent="0.25">
      <c r="A8" s="62"/>
      <c r="B8" s="62"/>
      <c r="C8" s="120"/>
      <c r="D8" s="120"/>
    </row>
    <row r="9" spans="1:4" x14ac:dyDescent="0.25">
      <c r="A9" s="62">
        <v>4</v>
      </c>
      <c r="B9" s="2" t="s">
        <v>382</v>
      </c>
      <c r="C9" s="119">
        <f>'carichi su travi utimo'!E7</f>
        <v>18.789550000000002</v>
      </c>
      <c r="D9" s="119">
        <f>'carichi su travi utimo'!F7</f>
        <v>11.499099999999999</v>
      </c>
    </row>
    <row r="10" spans="1:4" x14ac:dyDescent="0.25">
      <c r="A10" s="62"/>
      <c r="B10" s="2" t="s">
        <v>383</v>
      </c>
      <c r="C10" s="119">
        <f>C9</f>
        <v>18.789550000000002</v>
      </c>
      <c r="D10" s="119">
        <f>D9</f>
        <v>11.499099999999999</v>
      </c>
    </row>
    <row r="11" spans="1:4" x14ac:dyDescent="0.25">
      <c r="A11" s="62">
        <v>5</v>
      </c>
      <c r="B11" s="2" t="s">
        <v>430</v>
      </c>
      <c r="C11" s="120">
        <f>'carichi su travi utimo'!E27</f>
        <v>16.461000000000002</v>
      </c>
      <c r="D11" s="120">
        <f>'carichi su travi utimo'!F27</f>
        <v>10.77</v>
      </c>
    </row>
    <row r="12" spans="1:4" x14ac:dyDescent="0.25">
      <c r="A12" s="62"/>
      <c r="B12" s="62"/>
      <c r="C12" s="119"/>
      <c r="D12" s="120"/>
    </row>
    <row r="13" spans="1:4" x14ac:dyDescent="0.25">
      <c r="A13" s="62">
        <v>6</v>
      </c>
      <c r="B13" s="62" t="s">
        <v>326</v>
      </c>
      <c r="C13" s="119">
        <f>'carichi su travi utimo'!E13</f>
        <v>17.281600000000001</v>
      </c>
      <c r="D13" s="119">
        <f>'carichi su travi utimo'!F13</f>
        <v>11.212</v>
      </c>
    </row>
    <row r="14" spans="1:4" x14ac:dyDescent="0.25">
      <c r="A14" s="62">
        <v>7</v>
      </c>
      <c r="B14" s="2" t="s">
        <v>387</v>
      </c>
      <c r="C14" s="119">
        <f>'Riepilogo carichi tetto'!C2</f>
        <v>18.789550000000002</v>
      </c>
      <c r="D14" s="119">
        <f>D2</f>
        <v>11.499099999999999</v>
      </c>
    </row>
    <row r="15" spans="1:4" x14ac:dyDescent="0.25">
      <c r="A15" s="62"/>
      <c r="B15" s="2" t="s">
        <v>386</v>
      </c>
      <c r="C15" s="119">
        <f>C14</f>
        <v>18.789550000000002</v>
      </c>
      <c r="D15" s="119">
        <f>D14</f>
        <v>11.499099999999999</v>
      </c>
    </row>
    <row r="16" spans="1:4" x14ac:dyDescent="0.25">
      <c r="A16" s="62">
        <v>8</v>
      </c>
      <c r="B16" s="62" t="s">
        <v>328</v>
      </c>
      <c r="C16" s="120">
        <f>'carichi su travi utimo'!E52</f>
        <v>69.849024999999997</v>
      </c>
      <c r="D16" s="120">
        <f>'carichi su travi utimo'!F52</f>
        <v>41.494749999999996</v>
      </c>
    </row>
    <row r="17" spans="1:4" x14ac:dyDescent="0.25">
      <c r="A17" s="62">
        <v>9</v>
      </c>
      <c r="B17" s="125" t="s">
        <v>388</v>
      </c>
      <c r="C17" s="120">
        <f>'carichi su travi utimo'!E59</f>
        <v>85.586260000000024</v>
      </c>
      <c r="D17" s="120">
        <f>'carichi su travi utimo'!F59</f>
        <v>53.138200000000012</v>
      </c>
    </row>
    <row r="18" spans="1:4" x14ac:dyDescent="0.25">
      <c r="A18" s="62"/>
      <c r="B18" s="62" t="s">
        <v>330</v>
      </c>
      <c r="C18" s="120">
        <f>'carichi su travi utimo'!E85</f>
        <v>85.196260000000024</v>
      </c>
      <c r="D18" s="120">
        <f>'carichi su travi utimo'!F85</f>
        <v>52.838200000000008</v>
      </c>
    </row>
    <row r="19" spans="1:4" x14ac:dyDescent="0.25">
      <c r="A19" s="62">
        <v>10</v>
      </c>
      <c r="B19" s="2" t="s">
        <v>432</v>
      </c>
      <c r="C19" s="120">
        <f>'carichi su travi utimo'!E66</f>
        <v>77.596299999999999</v>
      </c>
      <c r="D19" s="120">
        <f>'carichi su travi utimo'!F66</f>
        <v>48.241000000000007</v>
      </c>
    </row>
    <row r="20" spans="1:4" x14ac:dyDescent="0.25">
      <c r="A20" s="62"/>
      <c r="B20" s="62"/>
      <c r="C20" s="120"/>
      <c r="D20" s="120"/>
    </row>
    <row r="21" spans="1:4" x14ac:dyDescent="0.25">
      <c r="A21" s="62"/>
      <c r="B21" s="62" t="s">
        <v>333</v>
      </c>
      <c r="C21" s="119">
        <f>'carichi su travi utimo'!E113</f>
        <v>6.1010000000000009</v>
      </c>
      <c r="D21" s="122">
        <f>'carichi su travi utimo'!F113</f>
        <v>4.5649999999999995</v>
      </c>
    </row>
    <row r="22" spans="1:4" x14ac:dyDescent="0.25">
      <c r="A22" s="62"/>
      <c r="B22" s="2" t="s">
        <v>384</v>
      </c>
      <c r="C22" s="120">
        <f>'carichi su travi utimo'!E107</f>
        <v>68.689970000000002</v>
      </c>
      <c r="D22" s="120">
        <f>'carichi su travi utimo'!F107</f>
        <v>40.823300000000003</v>
      </c>
    </row>
    <row r="23" spans="1:4" x14ac:dyDescent="0.25">
      <c r="A23" s="62"/>
      <c r="B23" s="2" t="s">
        <v>385</v>
      </c>
      <c r="C23" s="120">
        <f>C22</f>
        <v>68.689970000000002</v>
      </c>
      <c r="D23" s="120">
        <f>D22</f>
        <v>40.823300000000003</v>
      </c>
    </row>
    <row r="24" spans="1:4" x14ac:dyDescent="0.25">
      <c r="A24" s="62">
        <v>11</v>
      </c>
      <c r="B24" s="62" t="s">
        <v>337</v>
      </c>
      <c r="C24" s="120">
        <f>'carichi su travi utimo'!E72</f>
        <v>86.917920000000024</v>
      </c>
      <c r="D24" s="120">
        <f>'carichi su travi utimo'!F72</f>
        <v>53.954400000000007</v>
      </c>
    </row>
    <row r="25" spans="1:4" x14ac:dyDescent="0.25">
      <c r="A25" s="62"/>
      <c r="B25" s="62" t="s">
        <v>338</v>
      </c>
      <c r="C25" s="120">
        <f>C24</f>
        <v>86.917920000000024</v>
      </c>
      <c r="D25" s="120">
        <f>D24</f>
        <v>53.954400000000007</v>
      </c>
    </row>
    <row r="26" spans="1:4" x14ac:dyDescent="0.25">
      <c r="A26" s="62">
        <v>12</v>
      </c>
      <c r="B26" s="2" t="s">
        <v>390</v>
      </c>
      <c r="C26" s="120">
        <f>'carichi su travi utimo'!E79</f>
        <v>85.713849999999994</v>
      </c>
      <c r="D26" s="120">
        <f>'carichi su travi utimo'!F79</f>
        <v>50.396500000000003</v>
      </c>
    </row>
    <row r="27" spans="1:4" x14ac:dyDescent="0.25">
      <c r="A27" s="62"/>
      <c r="B27" s="2" t="s">
        <v>389</v>
      </c>
      <c r="C27" s="120">
        <f>C26</f>
        <v>85.713849999999994</v>
      </c>
      <c r="D27" s="120">
        <f>D26</f>
        <v>50.396500000000003</v>
      </c>
    </row>
    <row r="28" spans="1:4" x14ac:dyDescent="0.25">
      <c r="A28" s="7"/>
      <c r="B28" s="2" t="s">
        <v>391</v>
      </c>
      <c r="C28" s="103">
        <f>C27</f>
        <v>85.713849999999994</v>
      </c>
      <c r="D28" s="103">
        <f>D27</f>
        <v>50.396500000000003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zoomScale="85" zoomScaleNormal="85" workbookViewId="0">
      <selection activeCell="E55" sqref="E55"/>
    </sheetView>
  </sheetViews>
  <sheetFormatPr defaultRowHeight="15" x14ac:dyDescent="0.25"/>
  <cols>
    <col min="1" max="1" width="20.28515625" customWidth="1"/>
    <col min="2" max="2" width="11.5703125" customWidth="1"/>
    <col min="3" max="4" width="16.140625" customWidth="1"/>
    <col min="5" max="5" width="13.5703125" customWidth="1"/>
    <col min="6" max="6" width="15.140625" customWidth="1"/>
    <col min="7" max="7" width="11.85546875" customWidth="1"/>
    <col min="8" max="8" width="5.5703125" customWidth="1"/>
    <col min="9" max="9" width="15.28515625" customWidth="1"/>
    <col min="10" max="10" width="15.85546875" customWidth="1"/>
    <col min="11" max="11" width="11.28515625" customWidth="1"/>
    <col min="12" max="12" width="10.7109375" customWidth="1"/>
    <col min="14" max="14" width="12.28515625" customWidth="1"/>
    <col min="15" max="15" width="14.7109375" customWidth="1"/>
  </cols>
  <sheetData>
    <row r="1" spans="1:12" x14ac:dyDescent="0.25">
      <c r="A1" s="38" t="s">
        <v>12</v>
      </c>
      <c r="B1" s="38">
        <v>13</v>
      </c>
      <c r="C1" s="7" t="s">
        <v>92</v>
      </c>
      <c r="D1" s="7"/>
      <c r="E1" s="7"/>
    </row>
    <row r="2" spans="1:12" x14ac:dyDescent="0.25">
      <c r="A2" s="38" t="s">
        <v>13</v>
      </c>
      <c r="B2" s="39"/>
    </row>
    <row r="3" spans="1:12" x14ac:dyDescent="0.25">
      <c r="A3" s="38" t="s">
        <v>14</v>
      </c>
      <c r="B3" s="38">
        <v>3.3</v>
      </c>
    </row>
    <row r="4" spans="1:12" x14ac:dyDescent="0.25">
      <c r="A4" s="38" t="s">
        <v>99</v>
      </c>
      <c r="B4" s="55">
        <v>3.8022</v>
      </c>
    </row>
    <row r="5" spans="1:12" x14ac:dyDescent="0.25">
      <c r="I5" s="39"/>
      <c r="J5" s="39" t="s">
        <v>33</v>
      </c>
      <c r="K5" s="39"/>
      <c r="L5" s="39"/>
    </row>
    <row r="6" spans="1:12" x14ac:dyDescent="0.25">
      <c r="A6" s="77" t="s">
        <v>15</v>
      </c>
      <c r="B6" s="77" t="s">
        <v>193</v>
      </c>
      <c r="C6" s="77" t="s">
        <v>194</v>
      </c>
      <c r="D6" s="77" t="s">
        <v>195</v>
      </c>
      <c r="E6" s="77" t="s">
        <v>196</v>
      </c>
      <c r="F6" s="77" t="s">
        <v>197</v>
      </c>
      <c r="G6" s="77" t="s">
        <v>198</v>
      </c>
      <c r="I6" s="39" t="s">
        <v>31</v>
      </c>
      <c r="J6" s="38" t="s">
        <v>32</v>
      </c>
      <c r="K6" s="39" t="s">
        <v>34</v>
      </c>
      <c r="L6" s="39"/>
    </row>
    <row r="7" spans="1:12" x14ac:dyDescent="0.25">
      <c r="A7" s="77">
        <v>6</v>
      </c>
      <c r="B7" s="78">
        <f>'masse e forze'!F20</f>
        <v>556.9415988634214</v>
      </c>
      <c r="C7" s="78">
        <f>B7/$B$1</f>
        <v>42.841661451032415</v>
      </c>
      <c r="D7" s="77">
        <f>0.5*$B$3</f>
        <v>1.65</v>
      </c>
      <c r="E7" s="78">
        <f>C7*D7</f>
        <v>70.688741394203475</v>
      </c>
      <c r="F7" s="78">
        <f>E7/2</f>
        <v>35.344370697101738</v>
      </c>
      <c r="G7" s="79">
        <f>2*(F7/$B$4)</f>
        <v>18.591536845564008</v>
      </c>
      <c r="I7" s="55">
        <f>(C7*20/100)+C7</f>
        <v>51.4099937412389</v>
      </c>
      <c r="J7" s="70">
        <f>(E7*20/100)+E7</f>
        <v>84.826489673044165</v>
      </c>
      <c r="K7" s="70">
        <f>(F7*20/100)+F7</f>
        <v>42.413244836522082</v>
      </c>
      <c r="L7" s="39"/>
    </row>
    <row r="8" spans="1:12" x14ac:dyDescent="0.25">
      <c r="A8" s="77">
        <v>5</v>
      </c>
      <c r="B8" s="78">
        <f>'masse e forze'!F21</f>
        <v>1172.7005974833633</v>
      </c>
      <c r="C8" s="78">
        <f t="shared" ref="C8:C12" si="0">B8/$B$1</f>
        <v>90.207738267951015</v>
      </c>
      <c r="D8" s="77">
        <f t="shared" ref="D8:D11" si="1">0.5*$B$3</f>
        <v>1.65</v>
      </c>
      <c r="E8" s="78">
        <f t="shared" ref="E8:E12" si="2">C8*D8</f>
        <v>148.84276814211916</v>
      </c>
      <c r="F8" s="78">
        <f>(E7+E8)/2</f>
        <v>109.76575476816132</v>
      </c>
      <c r="G8" s="80">
        <f>((F7+F8)/$B$4)*2</f>
        <v>76.329559447300539</v>
      </c>
      <c r="I8" s="55">
        <f t="shared" ref="I8:I12" si="3">(C8*20/100)+C8</f>
        <v>108.24928592154122</v>
      </c>
      <c r="J8" s="70">
        <f t="shared" ref="J8:J12" si="4">(E8*20/100)+E8</f>
        <v>178.61132177054299</v>
      </c>
      <c r="K8" s="70">
        <f t="shared" ref="K8:K12" si="5">(F8*20/100)+F8</f>
        <v>131.71890572179359</v>
      </c>
      <c r="L8" s="39"/>
    </row>
    <row r="9" spans="1:12" x14ac:dyDescent="0.25">
      <c r="A9" s="77">
        <v>4</v>
      </c>
      <c r="B9" s="78">
        <f>'masse e forze'!F22</f>
        <v>1666.7826682322986</v>
      </c>
      <c r="C9" s="78">
        <f t="shared" si="0"/>
        <v>128.2140514024845</v>
      </c>
      <c r="D9" s="77">
        <f t="shared" si="1"/>
        <v>1.65</v>
      </c>
      <c r="E9" s="78">
        <f t="shared" si="2"/>
        <v>211.55318481409941</v>
      </c>
      <c r="F9" s="78">
        <f>(E8+E9)/2</f>
        <v>180.1979764781093</v>
      </c>
      <c r="G9" s="80">
        <f t="shared" ref="G9:G12" si="6">((F8+F9)/$B$4)*2</f>
        <v>152.52418665313274</v>
      </c>
      <c r="I9" s="55">
        <f t="shared" si="3"/>
        <v>153.85686168298139</v>
      </c>
      <c r="J9" s="70">
        <f t="shared" si="4"/>
        <v>253.86382177691928</v>
      </c>
      <c r="K9" s="70">
        <f t="shared" si="5"/>
        <v>216.23757177373116</v>
      </c>
      <c r="L9" s="39"/>
    </row>
    <row r="10" spans="1:12" x14ac:dyDescent="0.25">
      <c r="A10" s="77">
        <v>3</v>
      </c>
      <c r="B10" s="78">
        <f>'masse e forze'!F23</f>
        <v>2039.1878111102276</v>
      </c>
      <c r="C10" s="78">
        <f t="shared" si="0"/>
        <v>156.86060085463288</v>
      </c>
      <c r="D10" s="77">
        <f t="shared" si="1"/>
        <v>1.65</v>
      </c>
      <c r="E10" s="78">
        <f t="shared" si="2"/>
        <v>258.81999141014421</v>
      </c>
      <c r="F10" s="78">
        <f t="shared" ref="F10:F12" si="7">(E9+E10)/2</f>
        <v>235.1865881121218</v>
      </c>
      <c r="G10" s="80">
        <f t="shared" si="6"/>
        <v>218.49695680933726</v>
      </c>
      <c r="I10" s="55">
        <f t="shared" si="3"/>
        <v>188.23272102555944</v>
      </c>
      <c r="J10" s="70">
        <f t="shared" si="4"/>
        <v>310.58398969217308</v>
      </c>
      <c r="K10" s="70">
        <f t="shared" si="5"/>
        <v>282.22390573454618</v>
      </c>
      <c r="L10" s="39"/>
    </row>
    <row r="11" spans="1:12" x14ac:dyDescent="0.25">
      <c r="A11" s="77">
        <v>2</v>
      </c>
      <c r="B11" s="78">
        <f>'masse e forze'!F24</f>
        <v>2289.9160261171501</v>
      </c>
      <c r="C11" s="78">
        <f t="shared" si="0"/>
        <v>176.14738662439615</v>
      </c>
      <c r="D11" s="77">
        <f t="shared" si="1"/>
        <v>1.65</v>
      </c>
      <c r="E11" s="78">
        <f t="shared" si="2"/>
        <v>290.64318793025365</v>
      </c>
      <c r="F11" s="78">
        <f t="shared" si="7"/>
        <v>274.7315896701989</v>
      </c>
      <c r="G11" s="80">
        <f t="shared" si="6"/>
        <v>268.22270147931232</v>
      </c>
      <c r="I11" s="55">
        <f t="shared" si="3"/>
        <v>211.37686394927539</v>
      </c>
      <c r="J11" s="70">
        <f t="shared" si="4"/>
        <v>348.77182551630438</v>
      </c>
      <c r="K11" s="70">
        <f t="shared" si="5"/>
        <v>329.67790760423867</v>
      </c>
      <c r="L11" s="39"/>
    </row>
    <row r="12" spans="1:12" x14ac:dyDescent="0.25">
      <c r="A12" s="77">
        <v>1</v>
      </c>
      <c r="B12" s="78">
        <f>'masse e forze'!F25</f>
        <v>2404.4514666900004</v>
      </c>
      <c r="C12" s="78">
        <f t="shared" si="0"/>
        <v>184.95780513000003</v>
      </c>
      <c r="D12" s="77">
        <f>0.4*$B$3</f>
        <v>1.32</v>
      </c>
      <c r="E12" s="78">
        <f t="shared" si="2"/>
        <v>244.14430277160005</v>
      </c>
      <c r="F12" s="78">
        <f t="shared" si="7"/>
        <v>267.39374535092685</v>
      </c>
      <c r="G12" s="80">
        <f t="shared" si="6"/>
        <v>285.16402873132694</v>
      </c>
      <c r="I12" s="55">
        <f t="shared" si="3"/>
        <v>221.94936615600002</v>
      </c>
      <c r="J12" s="70">
        <f t="shared" si="4"/>
        <v>292.97316332592004</v>
      </c>
      <c r="K12" s="70">
        <f t="shared" si="5"/>
        <v>320.87249442111221</v>
      </c>
      <c r="L12" s="39"/>
    </row>
    <row r="13" spans="1:12" x14ac:dyDescent="0.25">
      <c r="A13" s="77" t="s">
        <v>16</v>
      </c>
      <c r="B13" s="77"/>
      <c r="C13" s="81"/>
      <c r="D13" s="77">
        <f>0.6*$B$3</f>
        <v>1.9799999999999998</v>
      </c>
      <c r="E13" s="78">
        <f>C12*D13</f>
        <v>366.21645415739999</v>
      </c>
      <c r="F13" s="79"/>
      <c r="G13" s="80"/>
      <c r="I13" s="39"/>
      <c r="J13" s="70">
        <f>(E13*20/100)+E13</f>
        <v>439.45974498888</v>
      </c>
      <c r="K13" s="39"/>
      <c r="L13" s="39"/>
    </row>
    <row r="15" spans="1:12" x14ac:dyDescent="0.25">
      <c r="A15" s="73" t="s">
        <v>100</v>
      </c>
      <c r="B15" s="74" t="s">
        <v>127</v>
      </c>
      <c r="C15" s="64"/>
    </row>
    <row r="16" spans="1:12" x14ac:dyDescent="0.25">
      <c r="A16" s="64" t="s">
        <v>96</v>
      </c>
      <c r="B16" s="64" t="s">
        <v>65</v>
      </c>
      <c r="C16" s="64"/>
      <c r="G16" s="16"/>
    </row>
    <row r="17" spans="1:14" x14ac:dyDescent="0.25">
      <c r="A17" s="64" t="s">
        <v>62</v>
      </c>
      <c r="B17" s="64" t="s">
        <v>63</v>
      </c>
      <c r="C17" s="71">
        <f>(('carichi unitari'!C20)*(5.6321*5.6321))/10</f>
        <v>170.82638668858507</v>
      </c>
    </row>
    <row r="18" spans="1:14" x14ac:dyDescent="0.25">
      <c r="A18" s="64" t="s">
        <v>64</v>
      </c>
      <c r="B18" s="64"/>
      <c r="C18" s="71">
        <f>K26</f>
        <v>320.87249442111221</v>
      </c>
      <c r="H18" s="39"/>
      <c r="I18" s="39"/>
      <c r="J18" s="38" t="s">
        <v>94</v>
      </c>
      <c r="K18" s="38"/>
      <c r="L18" s="38"/>
      <c r="M18" s="1"/>
      <c r="N18" s="1"/>
    </row>
    <row r="19" spans="1:14" x14ac:dyDescent="0.25">
      <c r="A19" s="64" t="s">
        <v>97</v>
      </c>
      <c r="B19" s="64"/>
      <c r="C19" s="71">
        <f>SUM(C17:C18)</f>
        <v>491.69888110969725</v>
      </c>
      <c r="H19" s="39"/>
      <c r="I19" s="39"/>
      <c r="J19" s="39"/>
      <c r="K19" s="39"/>
      <c r="L19" s="39"/>
    </row>
    <row r="20" spans="1:14" x14ac:dyDescent="0.25">
      <c r="A20" s="64"/>
      <c r="B20" s="64"/>
      <c r="C20" s="64"/>
      <c r="H20" s="39"/>
      <c r="I20" s="38" t="s">
        <v>31</v>
      </c>
      <c r="J20" s="38" t="s">
        <v>32</v>
      </c>
      <c r="K20" s="38" t="s">
        <v>34</v>
      </c>
      <c r="L20" s="39"/>
    </row>
    <row r="21" spans="1:14" x14ac:dyDescent="0.25">
      <c r="A21" s="64" t="s">
        <v>66</v>
      </c>
      <c r="B21" s="64"/>
      <c r="C21" s="64"/>
      <c r="H21" s="39"/>
      <c r="I21" s="55">
        <f t="shared" ref="I21:I26" si="8">I7</f>
        <v>51.4099937412389</v>
      </c>
      <c r="J21" s="70">
        <f>J7*1.5</f>
        <v>127.23973450956625</v>
      </c>
      <c r="K21" s="70">
        <f t="shared" ref="K21:K26" si="9">K7</f>
        <v>42.413244836522082</v>
      </c>
      <c r="L21" s="39"/>
    </row>
    <row r="22" spans="1:14" x14ac:dyDescent="0.25">
      <c r="A22" s="64" t="s">
        <v>67</v>
      </c>
      <c r="B22" s="62">
        <v>0.3</v>
      </c>
      <c r="C22" s="64" t="s">
        <v>98</v>
      </c>
      <c r="H22" s="39"/>
      <c r="I22" s="55">
        <f t="shared" si="8"/>
        <v>108.24928592154122</v>
      </c>
      <c r="J22" s="70">
        <f t="shared" ref="J22:J26" si="10">J8*1.5</f>
        <v>267.91698265581448</v>
      </c>
      <c r="K22" s="70">
        <f t="shared" si="9"/>
        <v>131.71890572179359</v>
      </c>
      <c r="L22" s="39"/>
    </row>
    <row r="23" spans="1:14" x14ac:dyDescent="0.25">
      <c r="A23" s="64" t="s">
        <v>68</v>
      </c>
      <c r="B23" s="62" t="s">
        <v>69</v>
      </c>
      <c r="C23" s="64"/>
      <c r="H23" s="39"/>
      <c r="I23" s="55">
        <f t="shared" si="8"/>
        <v>153.85686168298139</v>
      </c>
      <c r="J23" s="70">
        <f t="shared" si="10"/>
        <v>380.79573266537892</v>
      </c>
      <c r="K23" s="70">
        <f t="shared" si="9"/>
        <v>216.23757177373116</v>
      </c>
      <c r="L23" s="39"/>
    </row>
    <row r="24" spans="1:14" x14ac:dyDescent="0.25">
      <c r="A24" s="64" t="s">
        <v>70</v>
      </c>
      <c r="B24" s="62">
        <v>0.04</v>
      </c>
      <c r="C24" s="64" t="s">
        <v>98</v>
      </c>
      <c r="H24" s="39"/>
      <c r="I24" s="55">
        <f t="shared" si="8"/>
        <v>188.23272102555944</v>
      </c>
      <c r="J24" s="70">
        <f t="shared" si="10"/>
        <v>465.87598453825962</v>
      </c>
      <c r="K24" s="70">
        <f t="shared" si="9"/>
        <v>282.22390573454618</v>
      </c>
      <c r="L24" s="39"/>
    </row>
    <row r="25" spans="1:14" x14ac:dyDescent="0.25">
      <c r="A25" s="64" t="s">
        <v>71</v>
      </c>
      <c r="B25" s="63">
        <f>C19</f>
        <v>491.69888110969725</v>
      </c>
      <c r="C25" s="64"/>
      <c r="H25" s="39"/>
      <c r="I25" s="55">
        <f t="shared" si="8"/>
        <v>211.37686394927539</v>
      </c>
      <c r="J25" s="70">
        <f t="shared" si="10"/>
        <v>523.15773827445651</v>
      </c>
      <c r="K25" s="70">
        <f t="shared" si="9"/>
        <v>329.67790760423867</v>
      </c>
      <c r="L25" s="39"/>
    </row>
    <row r="26" spans="1:14" x14ac:dyDescent="0.25">
      <c r="A26" s="64" t="s">
        <v>72</v>
      </c>
      <c r="B26" s="62">
        <v>25</v>
      </c>
      <c r="C26" s="64"/>
      <c r="H26" s="39"/>
      <c r="I26" s="55">
        <f t="shared" si="8"/>
        <v>221.94936615600002</v>
      </c>
      <c r="J26" s="70">
        <f t="shared" si="10"/>
        <v>439.45974498888006</v>
      </c>
      <c r="K26" s="70">
        <f t="shared" si="9"/>
        <v>320.87249442111221</v>
      </c>
      <c r="L26" s="39"/>
    </row>
    <row r="27" spans="1:14" x14ac:dyDescent="0.25">
      <c r="A27" s="64" t="s">
        <v>73</v>
      </c>
      <c r="B27" s="62">
        <v>1.7000000000000001E-2</v>
      </c>
      <c r="C27" s="64"/>
      <c r="H27" s="39"/>
      <c r="I27" s="39"/>
      <c r="J27" s="70">
        <f>J13</f>
        <v>439.45974498888</v>
      </c>
      <c r="K27" s="39"/>
      <c r="L27" s="39"/>
    </row>
    <row r="28" spans="1:14" x14ac:dyDescent="0.25">
      <c r="A28" s="64"/>
      <c r="B28" s="62"/>
      <c r="C28" s="64" t="s">
        <v>75</v>
      </c>
    </row>
    <row r="29" spans="1:14" x14ac:dyDescent="0.25">
      <c r="A29" s="64" t="s">
        <v>68</v>
      </c>
      <c r="B29" s="75">
        <f>B27*SQRT(B25/B22)</f>
        <v>0.68823682125826069</v>
      </c>
      <c r="C29" s="64"/>
      <c r="D29" s="15" t="s">
        <v>74</v>
      </c>
      <c r="E29" s="15"/>
      <c r="F29" s="15"/>
      <c r="G29" s="15" t="s">
        <v>242</v>
      </c>
      <c r="I29" t="s">
        <v>400</v>
      </c>
    </row>
    <row r="32" spans="1:14" x14ac:dyDescent="0.25">
      <c r="A32" s="15" t="s">
        <v>101</v>
      </c>
      <c r="B32" s="15"/>
    </row>
    <row r="33" spans="1:8" x14ac:dyDescent="0.25">
      <c r="B33" s="17"/>
    </row>
    <row r="34" spans="1:8" x14ac:dyDescent="0.25">
      <c r="A34" s="77" t="s">
        <v>0</v>
      </c>
      <c r="B34" s="78" t="s">
        <v>93</v>
      </c>
      <c r="C34" s="77" t="s">
        <v>105</v>
      </c>
      <c r="D34" s="77" t="s">
        <v>102</v>
      </c>
      <c r="E34" s="77" t="s">
        <v>103</v>
      </c>
      <c r="F34" s="77" t="s">
        <v>106</v>
      </c>
      <c r="G34" s="77" t="s">
        <v>107</v>
      </c>
      <c r="H34" s="1"/>
    </row>
    <row r="35" spans="1:8" x14ac:dyDescent="0.25">
      <c r="A35" s="77">
        <v>6</v>
      </c>
      <c r="B35" s="78">
        <f>J21</f>
        <v>127.23973450956625</v>
      </c>
      <c r="C35" s="78">
        <f>G7</f>
        <v>18.591536845564008</v>
      </c>
      <c r="D35" s="78">
        <f>'carichi unitari'!D73</f>
        <v>317.46439829430005</v>
      </c>
      <c r="E35" s="82">
        <f>'carichi unitari'!E73</f>
        <v>125.87298625000003</v>
      </c>
      <c r="F35" s="78">
        <f>D35+C35</f>
        <v>336.05593513986406</v>
      </c>
      <c r="G35" s="82">
        <f>E35-C35</f>
        <v>107.28144940443602</v>
      </c>
    </row>
    <row r="36" spans="1:8" x14ac:dyDescent="0.25">
      <c r="A36" s="77">
        <v>5</v>
      </c>
      <c r="B36" s="78">
        <f t="shared" ref="B36:B40" si="11">J22</f>
        <v>267.91698265581448</v>
      </c>
      <c r="C36" s="78">
        <f t="shared" ref="C36:C40" si="12">G8</f>
        <v>76.329559447300539</v>
      </c>
      <c r="D36" s="78">
        <f>'carichi unitari'!D74</f>
        <v>634.92879658860011</v>
      </c>
      <c r="E36" s="82">
        <f>'carichi unitari'!E74</f>
        <v>251.74597250000005</v>
      </c>
      <c r="F36" s="78">
        <f t="shared" ref="F36:F40" si="13">D36+C36</f>
        <v>711.25835603590065</v>
      </c>
      <c r="G36" s="82">
        <f t="shared" ref="G36:G40" si="14">E36-C36</f>
        <v>175.41641305269951</v>
      </c>
    </row>
    <row r="37" spans="1:8" x14ac:dyDescent="0.25">
      <c r="A37" s="77">
        <v>4</v>
      </c>
      <c r="B37" s="78">
        <f t="shared" si="11"/>
        <v>380.79573266537892</v>
      </c>
      <c r="C37" s="78">
        <f t="shared" si="12"/>
        <v>152.52418665313274</v>
      </c>
      <c r="D37" s="78">
        <f>'carichi unitari'!D75</f>
        <v>952.39319488290016</v>
      </c>
      <c r="E37" s="82">
        <f>'carichi unitari'!E75</f>
        <v>377.61895875000005</v>
      </c>
      <c r="F37" s="78">
        <f t="shared" si="13"/>
        <v>1104.917381536033</v>
      </c>
      <c r="G37" s="82">
        <f t="shared" si="14"/>
        <v>225.0947720968673</v>
      </c>
    </row>
    <row r="38" spans="1:8" x14ac:dyDescent="0.25">
      <c r="A38" s="77">
        <v>3</v>
      </c>
      <c r="B38" s="78">
        <f t="shared" si="11"/>
        <v>465.87598453825962</v>
      </c>
      <c r="C38" s="78">
        <f t="shared" si="12"/>
        <v>218.49695680933726</v>
      </c>
      <c r="D38" s="78">
        <f>'carichi unitari'!D76</f>
        <v>1269.8575931772002</v>
      </c>
      <c r="E38" s="82">
        <f>'carichi unitari'!E76</f>
        <v>503.4919450000001</v>
      </c>
      <c r="F38" s="78">
        <f t="shared" si="13"/>
        <v>1488.3545499865374</v>
      </c>
      <c r="G38" s="82">
        <f t="shared" si="14"/>
        <v>284.99498819066287</v>
      </c>
    </row>
    <row r="39" spans="1:8" x14ac:dyDescent="0.25">
      <c r="A39" s="77">
        <v>2</v>
      </c>
      <c r="B39" s="78">
        <f t="shared" si="11"/>
        <v>523.15773827445651</v>
      </c>
      <c r="C39" s="78">
        <f t="shared" si="12"/>
        <v>268.22270147931232</v>
      </c>
      <c r="D39" s="78">
        <f>'carichi unitari'!D77</f>
        <v>1587.3219914715003</v>
      </c>
      <c r="E39" s="82">
        <f>'carichi unitari'!E77</f>
        <v>629.36493125000015</v>
      </c>
      <c r="F39" s="78">
        <f t="shared" si="13"/>
        <v>1855.5446929508125</v>
      </c>
      <c r="G39" s="82">
        <f t="shared" si="14"/>
        <v>361.14222977068783</v>
      </c>
    </row>
    <row r="40" spans="1:8" x14ac:dyDescent="0.25">
      <c r="A40" s="77">
        <v>1</v>
      </c>
      <c r="B40" s="78">
        <f t="shared" si="11"/>
        <v>439.45974498888006</v>
      </c>
      <c r="C40" s="78">
        <f t="shared" si="12"/>
        <v>285.16402873132694</v>
      </c>
      <c r="D40" s="78">
        <f>'carichi unitari'!D78</f>
        <v>1904.7863897658003</v>
      </c>
      <c r="E40" s="82">
        <f>'carichi unitari'!E78</f>
        <v>755.23791750000009</v>
      </c>
      <c r="F40" s="78">
        <f t="shared" si="13"/>
        <v>2189.9504184971274</v>
      </c>
      <c r="G40" s="82">
        <f t="shared" si="14"/>
        <v>470.07388876867316</v>
      </c>
    </row>
    <row r="41" spans="1:8" x14ac:dyDescent="0.25">
      <c r="A41" s="81"/>
      <c r="B41" s="78">
        <f>J27</f>
        <v>439.45974498888</v>
      </c>
      <c r="C41" s="81"/>
      <c r="D41" s="81"/>
      <c r="E41" s="81"/>
      <c r="F41" s="81"/>
      <c r="G41" s="81"/>
    </row>
    <row r="42" spans="1:8" x14ac:dyDescent="0.25">
      <c r="A42" s="15" t="s">
        <v>177</v>
      </c>
    </row>
    <row r="43" spans="1:8" x14ac:dyDescent="0.25">
      <c r="A43" s="64" t="s">
        <v>108</v>
      </c>
      <c r="B43" s="71">
        <f>J27</f>
        <v>439.45974498888</v>
      </c>
    </row>
    <row r="44" spans="1:8" x14ac:dyDescent="0.25">
      <c r="A44" s="64" t="s">
        <v>109</v>
      </c>
      <c r="B44" s="71">
        <f>F40</f>
        <v>2189.9504184971274</v>
      </c>
      <c r="D44" s="33" t="s">
        <v>111</v>
      </c>
      <c r="E44" t="s">
        <v>401</v>
      </c>
    </row>
    <row r="45" spans="1:8" x14ac:dyDescent="0.25">
      <c r="A45" s="64" t="s">
        <v>110</v>
      </c>
      <c r="B45" s="76">
        <f>G40</f>
        <v>470.07388876867316</v>
      </c>
      <c r="C45" s="32" t="s">
        <v>149</v>
      </c>
      <c r="D45" s="49">
        <f>J25</f>
        <v>523.15773827445651</v>
      </c>
    </row>
    <row r="46" spans="1:8" x14ac:dyDescent="0.25">
      <c r="A46" s="64"/>
      <c r="B46" s="64"/>
    </row>
    <row r="47" spans="1:8" x14ac:dyDescent="0.25">
      <c r="A47" s="41" t="s">
        <v>441</v>
      </c>
      <c r="B47" s="42"/>
      <c r="C47" s="43"/>
    </row>
    <row r="51" spans="9:12" x14ac:dyDescent="0.25">
      <c r="I51" s="156"/>
      <c r="J51" s="157"/>
      <c r="K51" s="64"/>
      <c r="L51" s="7"/>
    </row>
    <row r="52" spans="9:12" x14ac:dyDescent="0.25">
      <c r="I52" s="64"/>
      <c r="J52" s="64"/>
      <c r="K52" s="64"/>
      <c r="L52" s="7"/>
    </row>
    <row r="53" spans="9:12" x14ac:dyDescent="0.25">
      <c r="I53" s="64"/>
      <c r="J53" s="64"/>
      <c r="K53" s="63"/>
      <c r="L53" s="7"/>
    </row>
    <row r="54" spans="9:12" x14ac:dyDescent="0.25">
      <c r="I54" s="64"/>
      <c r="J54" s="64"/>
      <c r="K54" s="63"/>
      <c r="L54" s="7"/>
    </row>
    <row r="55" spans="9:12" x14ac:dyDescent="0.25">
      <c r="I55" s="64"/>
      <c r="J55" s="64"/>
      <c r="K55" s="63"/>
      <c r="L55" s="7"/>
    </row>
    <row r="56" spans="9:12" x14ac:dyDescent="0.25">
      <c r="I56" s="64"/>
      <c r="J56" s="64"/>
      <c r="K56" s="64"/>
      <c r="L56" s="7"/>
    </row>
    <row r="57" spans="9:12" x14ac:dyDescent="0.25">
      <c r="I57" s="64"/>
      <c r="J57" s="64"/>
      <c r="K57" s="64"/>
      <c r="L57" s="7"/>
    </row>
    <row r="58" spans="9:12" x14ac:dyDescent="0.25">
      <c r="I58" s="64"/>
      <c r="J58" s="64"/>
      <c r="K58" s="64"/>
      <c r="L58" s="7"/>
    </row>
    <row r="59" spans="9:12" x14ac:dyDescent="0.25">
      <c r="I59" s="64"/>
      <c r="J59" s="62"/>
      <c r="K59" s="64"/>
      <c r="L59" s="7"/>
    </row>
    <row r="60" spans="9:12" x14ac:dyDescent="0.25">
      <c r="I60" s="64"/>
      <c r="J60" s="64"/>
      <c r="K60" s="64"/>
      <c r="L60" s="7"/>
    </row>
    <row r="61" spans="9:12" x14ac:dyDescent="0.25">
      <c r="I61" s="64"/>
      <c r="J61" s="71"/>
      <c r="K61" s="64"/>
      <c r="L61" s="7"/>
    </row>
    <row r="62" spans="9:12" x14ac:dyDescent="0.25">
      <c r="I62" s="64"/>
      <c r="J62" s="64"/>
      <c r="K62" s="64"/>
      <c r="L62" s="7"/>
    </row>
    <row r="63" spans="9:12" x14ac:dyDescent="0.25">
      <c r="I63" s="64"/>
      <c r="J63" s="64"/>
      <c r="K63" s="64"/>
      <c r="L63" s="7"/>
    </row>
    <row r="64" spans="9:12" x14ac:dyDescent="0.25">
      <c r="I64" s="64"/>
      <c r="J64" s="64"/>
      <c r="K64" s="64"/>
      <c r="L64" s="7"/>
    </row>
    <row r="65" spans="9:14" x14ac:dyDescent="0.25">
      <c r="I65" s="64"/>
      <c r="J65" s="72"/>
      <c r="K65" s="64"/>
      <c r="L65" s="7"/>
      <c r="M65" s="15"/>
      <c r="N65" s="15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2"/>
  <sheetViews>
    <sheetView topLeftCell="A67" zoomScale="83" zoomScaleNormal="83" workbookViewId="0">
      <selection activeCell="C80" sqref="C80"/>
    </sheetView>
  </sheetViews>
  <sheetFormatPr defaultRowHeight="15" x14ac:dyDescent="0.25"/>
  <cols>
    <col min="1" max="1" width="28.7109375" customWidth="1"/>
    <col min="2" max="2" width="10.42578125" bestFit="1" customWidth="1"/>
    <col min="3" max="3" width="17.42578125" customWidth="1"/>
    <col min="4" max="4" width="16.85546875" customWidth="1"/>
    <col min="6" max="6" width="18.28515625" customWidth="1"/>
    <col min="7" max="7" width="12.28515625" customWidth="1"/>
    <col min="9" max="9" width="34.7109375" customWidth="1"/>
    <col min="11" max="11" width="9.7109375" customWidth="1"/>
  </cols>
  <sheetData>
    <row r="2" spans="1:14" x14ac:dyDescent="0.25">
      <c r="H2" s="34" t="s">
        <v>243</v>
      </c>
      <c r="I2" s="34"/>
      <c r="J2" s="34"/>
      <c r="K2" s="34"/>
    </row>
    <row r="5" spans="1:14" x14ac:dyDescent="0.25">
      <c r="A5" s="32" t="s">
        <v>113</v>
      </c>
      <c r="B5" s="32"/>
      <c r="C5" s="32" t="s">
        <v>118</v>
      </c>
      <c r="D5" s="35" t="s">
        <v>119</v>
      </c>
      <c r="E5" s="35"/>
      <c r="F5" s="35" t="s">
        <v>128</v>
      </c>
      <c r="I5" s="32" t="s">
        <v>121</v>
      </c>
      <c r="J5" s="32"/>
      <c r="K5" s="32" t="s">
        <v>118</v>
      </c>
      <c r="L5" s="35" t="s">
        <v>122</v>
      </c>
      <c r="M5" s="35" t="s">
        <v>120</v>
      </c>
    </row>
    <row r="6" spans="1:14" x14ac:dyDescent="0.25">
      <c r="A6" s="32" t="s">
        <v>114</v>
      </c>
      <c r="B6" s="32"/>
      <c r="C6" s="36">
        <v>6</v>
      </c>
      <c r="D6" s="36">
        <f>30.8</f>
        <v>30.8</v>
      </c>
      <c r="E6" s="36"/>
      <c r="F6" s="36">
        <f>C6*D6</f>
        <v>184.8</v>
      </c>
      <c r="I6" s="32" t="s">
        <v>114</v>
      </c>
      <c r="J6" s="32"/>
      <c r="K6" s="36">
        <v>11</v>
      </c>
      <c r="L6" s="83">
        <v>40.700000000000003</v>
      </c>
      <c r="M6" s="36">
        <f>L6*K6</f>
        <v>447.70000000000005</v>
      </c>
    </row>
    <row r="7" spans="1:14" x14ac:dyDescent="0.25">
      <c r="A7" s="32" t="s">
        <v>115</v>
      </c>
      <c r="B7" s="32"/>
      <c r="C7" s="36">
        <v>8</v>
      </c>
      <c r="D7" s="36">
        <v>20.350000000000001</v>
      </c>
      <c r="E7" s="36"/>
      <c r="F7" s="36">
        <f>C7*D7</f>
        <v>162.80000000000001</v>
      </c>
      <c r="I7" s="32" t="s">
        <v>115</v>
      </c>
      <c r="J7" s="32"/>
      <c r="K7" s="36">
        <v>1</v>
      </c>
      <c r="L7" s="36">
        <v>26.2</v>
      </c>
      <c r="M7" s="36">
        <f t="shared" ref="M7:M13" si="0">L7*K7</f>
        <v>26.2</v>
      </c>
    </row>
    <row r="8" spans="1:14" x14ac:dyDescent="0.25">
      <c r="A8" s="32" t="s">
        <v>116</v>
      </c>
      <c r="B8" s="32"/>
      <c r="C8" s="36">
        <v>0</v>
      </c>
      <c r="D8" s="36">
        <v>0</v>
      </c>
      <c r="E8" s="36"/>
      <c r="F8" s="36">
        <v>0</v>
      </c>
      <c r="I8" s="32" t="s">
        <v>116</v>
      </c>
      <c r="J8" s="32"/>
      <c r="K8" s="36">
        <v>4</v>
      </c>
      <c r="L8" s="36">
        <v>12.71</v>
      </c>
      <c r="M8" s="36">
        <f t="shared" si="0"/>
        <v>50.84</v>
      </c>
    </row>
    <row r="9" spans="1:14" x14ac:dyDescent="0.25">
      <c r="A9" s="32" t="s">
        <v>117</v>
      </c>
      <c r="B9" s="32"/>
      <c r="C9" s="36">
        <v>0</v>
      </c>
      <c r="D9" s="36">
        <v>0</v>
      </c>
      <c r="E9" s="36"/>
      <c r="F9" s="36">
        <v>0</v>
      </c>
      <c r="I9" s="32" t="s">
        <v>117</v>
      </c>
      <c r="J9" s="32"/>
      <c r="K9" s="36">
        <v>9</v>
      </c>
      <c r="L9" s="36">
        <v>11.64</v>
      </c>
      <c r="M9" s="36">
        <f t="shared" si="0"/>
        <v>104.76</v>
      </c>
    </row>
    <row r="10" spans="1:14" x14ac:dyDescent="0.25">
      <c r="A10" s="32" t="s">
        <v>123</v>
      </c>
      <c r="B10" s="32"/>
      <c r="C10" s="36">
        <v>7</v>
      </c>
      <c r="D10" s="36">
        <v>4.9000000000000004</v>
      </c>
      <c r="E10" s="36"/>
      <c r="F10" s="36">
        <f>C10*D10</f>
        <v>34.300000000000004</v>
      </c>
      <c r="I10" s="32" t="s">
        <v>123</v>
      </c>
      <c r="J10" s="32"/>
      <c r="K10" s="36">
        <v>0</v>
      </c>
      <c r="L10" s="36">
        <v>0</v>
      </c>
      <c r="M10" s="36">
        <f t="shared" si="0"/>
        <v>0</v>
      </c>
    </row>
    <row r="11" spans="1:14" x14ac:dyDescent="0.25">
      <c r="A11" s="32" t="s">
        <v>124</v>
      </c>
      <c r="B11" s="32"/>
      <c r="C11" s="36">
        <v>6</v>
      </c>
      <c r="D11" s="36">
        <v>3.17</v>
      </c>
      <c r="E11" s="36"/>
      <c r="F11" s="36">
        <f>C11*D11</f>
        <v>19.02</v>
      </c>
      <c r="I11" s="32" t="s">
        <v>124</v>
      </c>
      <c r="J11" s="32"/>
      <c r="K11" s="36">
        <v>1</v>
      </c>
      <c r="L11" s="36">
        <v>4.32</v>
      </c>
      <c r="M11" s="36">
        <v>4.32</v>
      </c>
    </row>
    <row r="12" spans="1:14" x14ac:dyDescent="0.25">
      <c r="A12" s="32" t="s">
        <v>125</v>
      </c>
      <c r="B12" s="32"/>
      <c r="C12" s="36">
        <v>0</v>
      </c>
      <c r="D12" s="36">
        <v>0</v>
      </c>
      <c r="E12" s="36"/>
      <c r="F12" s="36">
        <v>0</v>
      </c>
      <c r="I12" s="32" t="s">
        <v>125</v>
      </c>
      <c r="J12" s="32"/>
      <c r="K12" s="36">
        <v>1</v>
      </c>
      <c r="L12" s="36">
        <v>9.8699999999999992</v>
      </c>
      <c r="M12" s="36">
        <f t="shared" si="0"/>
        <v>9.8699999999999992</v>
      </c>
      <c r="N12" s="37"/>
    </row>
    <row r="13" spans="1:14" x14ac:dyDescent="0.25">
      <c r="A13" s="32" t="s">
        <v>126</v>
      </c>
      <c r="B13" s="32"/>
      <c r="C13" s="36">
        <v>0</v>
      </c>
      <c r="D13" s="36">
        <v>0</v>
      </c>
      <c r="E13" s="36"/>
      <c r="F13" s="36">
        <v>0</v>
      </c>
      <c r="I13" s="32" t="s">
        <v>126</v>
      </c>
      <c r="J13" s="7"/>
      <c r="K13" s="36">
        <v>0</v>
      </c>
      <c r="L13" s="2">
        <v>0</v>
      </c>
      <c r="M13" s="36">
        <f t="shared" si="0"/>
        <v>0</v>
      </c>
    </row>
    <row r="14" spans="1:14" x14ac:dyDescent="0.25">
      <c r="A14" s="32" t="s">
        <v>30</v>
      </c>
      <c r="B14" s="7"/>
      <c r="C14" s="2">
        <f>SUM(C6:C12)</f>
        <v>27</v>
      </c>
      <c r="D14" s="7"/>
      <c r="E14" s="7"/>
      <c r="F14" s="2">
        <f>SUM(F6:F13)</f>
        <v>400.92</v>
      </c>
      <c r="I14" s="32" t="s">
        <v>30</v>
      </c>
      <c r="J14" s="7"/>
      <c r="K14" s="2">
        <f>SUM(K6:K13)</f>
        <v>27</v>
      </c>
      <c r="L14" s="7"/>
      <c r="M14" s="2">
        <f>SUM(M6:M13)</f>
        <v>643.69000000000005</v>
      </c>
    </row>
    <row r="19" spans="1:13" x14ac:dyDescent="0.25">
      <c r="A19" s="32" t="s">
        <v>140</v>
      </c>
      <c r="B19" s="32"/>
      <c r="C19" s="32" t="s">
        <v>118</v>
      </c>
      <c r="D19" s="35" t="s">
        <v>119</v>
      </c>
      <c r="E19" s="35"/>
      <c r="F19" s="35" t="s">
        <v>128</v>
      </c>
      <c r="I19" s="32" t="s">
        <v>139</v>
      </c>
      <c r="J19" s="32"/>
      <c r="K19" s="32" t="s">
        <v>118</v>
      </c>
      <c r="L19" s="35" t="s">
        <v>122</v>
      </c>
      <c r="M19" s="35" t="s">
        <v>120</v>
      </c>
    </row>
    <row r="20" spans="1:13" x14ac:dyDescent="0.25">
      <c r="A20" s="32" t="s">
        <v>129</v>
      </c>
      <c r="B20" s="7"/>
      <c r="C20" s="2">
        <f t="shared" ref="C20:C27" si="1">C6</f>
        <v>6</v>
      </c>
      <c r="D20" s="2">
        <v>27.23</v>
      </c>
      <c r="E20" s="2"/>
      <c r="F20" s="2">
        <f>C20*D20</f>
        <v>163.38</v>
      </c>
      <c r="I20" s="32" t="s">
        <v>129</v>
      </c>
      <c r="J20" s="7"/>
      <c r="K20" s="2">
        <f t="shared" ref="K20:K27" si="2">K6</f>
        <v>11</v>
      </c>
      <c r="L20" s="2">
        <v>33.71</v>
      </c>
      <c r="M20" s="2">
        <f>K20*L20</f>
        <v>370.81</v>
      </c>
    </row>
    <row r="21" spans="1:13" x14ac:dyDescent="0.25">
      <c r="A21" s="32" t="s">
        <v>130</v>
      </c>
      <c r="B21" s="7"/>
      <c r="C21" s="2">
        <f t="shared" si="1"/>
        <v>8</v>
      </c>
      <c r="D21" s="2">
        <v>19.399999999999999</v>
      </c>
      <c r="E21" s="2"/>
      <c r="F21" s="2">
        <f>C21*D21</f>
        <v>155.19999999999999</v>
      </c>
      <c r="I21" s="32" t="s">
        <v>130</v>
      </c>
      <c r="J21" s="7"/>
      <c r="K21" s="2">
        <f t="shared" si="2"/>
        <v>1</v>
      </c>
      <c r="L21" s="2">
        <v>23.93</v>
      </c>
      <c r="M21" s="2">
        <f t="shared" ref="M21:M26" si="3">K21*L21</f>
        <v>23.93</v>
      </c>
    </row>
    <row r="22" spans="1:13" x14ac:dyDescent="0.25">
      <c r="A22" s="32" t="s">
        <v>135</v>
      </c>
      <c r="B22" s="7"/>
      <c r="C22" s="2">
        <f t="shared" si="1"/>
        <v>0</v>
      </c>
      <c r="D22" s="2">
        <v>0</v>
      </c>
      <c r="E22" s="2"/>
      <c r="F22" s="2">
        <v>0</v>
      </c>
      <c r="I22" s="32" t="s">
        <v>135</v>
      </c>
      <c r="J22" s="7"/>
      <c r="K22" s="2">
        <f t="shared" si="2"/>
        <v>4</v>
      </c>
      <c r="L22" s="2">
        <v>11.51</v>
      </c>
      <c r="M22" s="2">
        <f t="shared" si="3"/>
        <v>46.04</v>
      </c>
    </row>
    <row r="23" spans="1:13" x14ac:dyDescent="0.25">
      <c r="A23" s="32" t="s">
        <v>136</v>
      </c>
      <c r="B23" s="7"/>
      <c r="C23" s="2">
        <f t="shared" si="1"/>
        <v>0</v>
      </c>
      <c r="D23" s="2">
        <v>0</v>
      </c>
      <c r="E23" s="2"/>
      <c r="F23" s="2">
        <v>0</v>
      </c>
      <c r="I23" s="32" t="s">
        <v>136</v>
      </c>
      <c r="J23" s="7"/>
      <c r="K23" s="2">
        <f t="shared" si="2"/>
        <v>9</v>
      </c>
      <c r="L23" s="2">
        <v>10.72</v>
      </c>
      <c r="M23" s="2">
        <f t="shared" si="3"/>
        <v>96.48</v>
      </c>
    </row>
    <row r="24" spans="1:13" x14ac:dyDescent="0.25">
      <c r="A24" s="32" t="s">
        <v>137</v>
      </c>
      <c r="B24" s="7"/>
      <c r="C24" s="2">
        <f t="shared" si="1"/>
        <v>7</v>
      </c>
      <c r="D24" s="2">
        <v>5.51</v>
      </c>
      <c r="E24" s="2"/>
      <c r="F24" s="2">
        <f>C24*D24</f>
        <v>38.57</v>
      </c>
      <c r="I24" s="32" t="s">
        <v>137</v>
      </c>
      <c r="J24" s="7"/>
      <c r="K24" s="2">
        <f t="shared" si="2"/>
        <v>0</v>
      </c>
      <c r="L24" s="2">
        <v>0</v>
      </c>
      <c r="M24" s="2">
        <f t="shared" si="3"/>
        <v>0</v>
      </c>
    </row>
    <row r="25" spans="1:13" x14ac:dyDescent="0.25">
      <c r="A25" s="32" t="s">
        <v>138</v>
      </c>
      <c r="B25" s="7"/>
      <c r="C25" s="2">
        <f t="shared" si="1"/>
        <v>6</v>
      </c>
      <c r="D25" s="2">
        <v>3.77</v>
      </c>
      <c r="E25" s="2"/>
      <c r="F25" s="2">
        <f>C25*D25</f>
        <v>22.62</v>
      </c>
      <c r="I25" s="32" t="s">
        <v>138</v>
      </c>
      <c r="J25" s="7"/>
      <c r="K25" s="2">
        <f t="shared" si="2"/>
        <v>1</v>
      </c>
      <c r="L25" s="2">
        <v>4.95</v>
      </c>
      <c r="M25" s="2">
        <f t="shared" si="3"/>
        <v>4.95</v>
      </c>
    </row>
    <row r="26" spans="1:13" x14ac:dyDescent="0.25">
      <c r="A26" s="32" t="s">
        <v>131</v>
      </c>
      <c r="B26" s="7"/>
      <c r="C26" s="2">
        <f t="shared" si="1"/>
        <v>0</v>
      </c>
      <c r="D26" s="2">
        <v>0</v>
      </c>
      <c r="E26" s="2"/>
      <c r="F26" s="2">
        <v>0</v>
      </c>
      <c r="I26" s="32" t="s">
        <v>131</v>
      </c>
      <c r="J26" s="7"/>
      <c r="K26" s="2">
        <f t="shared" si="2"/>
        <v>1</v>
      </c>
      <c r="L26" s="2">
        <v>11.62</v>
      </c>
      <c r="M26" s="2">
        <f t="shared" si="3"/>
        <v>11.62</v>
      </c>
    </row>
    <row r="27" spans="1:13" x14ac:dyDescent="0.25">
      <c r="A27" s="32" t="s">
        <v>132</v>
      </c>
      <c r="B27" s="7"/>
      <c r="C27" s="2">
        <f t="shared" si="1"/>
        <v>0</v>
      </c>
      <c r="D27" s="2">
        <v>0</v>
      </c>
      <c r="E27" s="2"/>
      <c r="F27" s="2">
        <v>0</v>
      </c>
      <c r="I27" s="32" t="s">
        <v>132</v>
      </c>
      <c r="J27" s="7"/>
      <c r="K27" s="2">
        <f t="shared" si="2"/>
        <v>0</v>
      </c>
      <c r="L27" s="2">
        <v>0</v>
      </c>
      <c r="M27" s="2">
        <f>K27*L27</f>
        <v>0</v>
      </c>
    </row>
    <row r="28" spans="1:13" x14ac:dyDescent="0.25">
      <c r="A28" s="32" t="s">
        <v>30</v>
      </c>
      <c r="B28" s="7"/>
      <c r="C28" s="2">
        <f>SUM(C20:C27)</f>
        <v>27</v>
      </c>
      <c r="D28" s="7"/>
      <c r="E28" s="7"/>
      <c r="F28" s="2">
        <f>SUM(F20:F27)</f>
        <v>379.77</v>
      </c>
      <c r="I28" s="32" t="s">
        <v>30</v>
      </c>
      <c r="J28" s="7"/>
      <c r="K28" s="2">
        <f>K14</f>
        <v>27</v>
      </c>
      <c r="L28" s="7"/>
      <c r="M28" s="2">
        <f>SUM(M20:M27)</f>
        <v>553.83000000000004</v>
      </c>
    </row>
    <row r="29" spans="1:13" x14ac:dyDescent="0.25">
      <c r="F29" s="1"/>
      <c r="I29" s="7"/>
      <c r="J29" s="7"/>
      <c r="K29" s="7"/>
      <c r="L29" s="7"/>
      <c r="M29" s="7"/>
    </row>
    <row r="32" spans="1:13" x14ac:dyDescent="0.25">
      <c r="A32" s="32" t="s">
        <v>134</v>
      </c>
      <c r="B32" s="32"/>
      <c r="C32" s="32" t="s">
        <v>118</v>
      </c>
      <c r="D32" s="35" t="s">
        <v>119</v>
      </c>
      <c r="E32" s="35"/>
      <c r="F32" s="35" t="s">
        <v>128</v>
      </c>
      <c r="I32" s="32" t="s">
        <v>133</v>
      </c>
      <c r="J32" s="32"/>
      <c r="K32" s="32" t="s">
        <v>118</v>
      </c>
      <c r="L32" s="35" t="s">
        <v>122</v>
      </c>
      <c r="M32" s="35" t="s">
        <v>120</v>
      </c>
    </row>
    <row r="33" spans="1:13" x14ac:dyDescent="0.25">
      <c r="A33" s="32" t="s">
        <v>114</v>
      </c>
      <c r="B33" s="7"/>
      <c r="C33" s="2">
        <f>C20</f>
        <v>6</v>
      </c>
      <c r="D33" s="2">
        <v>44.53</v>
      </c>
      <c r="E33" s="2"/>
      <c r="F33" s="2">
        <f t="shared" ref="F33:F40" si="4">C33*D33</f>
        <v>267.18</v>
      </c>
      <c r="I33" s="32" t="s">
        <v>114</v>
      </c>
      <c r="J33" s="7"/>
      <c r="K33" s="2">
        <f>K6</f>
        <v>11</v>
      </c>
      <c r="L33" s="2">
        <v>51.04</v>
      </c>
      <c r="M33" s="2">
        <f>K33*L33</f>
        <v>561.43999999999994</v>
      </c>
    </row>
    <row r="34" spans="1:13" x14ac:dyDescent="0.25">
      <c r="A34" s="32" t="s">
        <v>115</v>
      </c>
      <c r="B34" s="7"/>
      <c r="C34" s="2">
        <f t="shared" ref="C34:D41" si="5">C21</f>
        <v>8</v>
      </c>
      <c r="D34" s="2">
        <v>38.86</v>
      </c>
      <c r="E34" s="2"/>
      <c r="F34" s="2">
        <f t="shared" si="4"/>
        <v>310.88</v>
      </c>
      <c r="I34" s="32" t="s">
        <v>115</v>
      </c>
      <c r="J34" s="7"/>
      <c r="K34" s="2">
        <f t="shared" ref="K34:K40" si="6">K7</f>
        <v>1</v>
      </c>
      <c r="L34" s="2">
        <v>41.26</v>
      </c>
      <c r="M34" s="2">
        <f t="shared" ref="M34:M38" si="7">K34*L34</f>
        <v>41.26</v>
      </c>
    </row>
    <row r="35" spans="1:13" x14ac:dyDescent="0.25">
      <c r="A35" s="32" t="s">
        <v>116</v>
      </c>
      <c r="B35" s="7"/>
      <c r="C35" s="2">
        <f t="shared" si="5"/>
        <v>0</v>
      </c>
      <c r="D35" s="2">
        <v>0</v>
      </c>
      <c r="E35" s="2"/>
      <c r="F35" s="2">
        <f t="shared" si="4"/>
        <v>0</v>
      </c>
      <c r="I35" s="32" t="s">
        <v>116</v>
      </c>
      <c r="J35" s="7"/>
      <c r="K35" s="2">
        <f t="shared" si="6"/>
        <v>4</v>
      </c>
      <c r="L35" s="2">
        <v>12.22</v>
      </c>
      <c r="M35" s="2">
        <f t="shared" si="7"/>
        <v>48.88</v>
      </c>
    </row>
    <row r="36" spans="1:13" x14ac:dyDescent="0.25">
      <c r="A36" s="32" t="s">
        <v>117</v>
      </c>
      <c r="B36" s="7"/>
      <c r="C36" s="2">
        <f t="shared" si="5"/>
        <v>0</v>
      </c>
      <c r="D36" s="2">
        <v>0</v>
      </c>
      <c r="E36" s="2"/>
      <c r="F36" s="2">
        <f t="shared" si="4"/>
        <v>0</v>
      </c>
      <c r="I36" s="32" t="s">
        <v>117</v>
      </c>
      <c r="J36" s="7"/>
      <c r="K36" s="2">
        <f t="shared" si="6"/>
        <v>9</v>
      </c>
      <c r="L36" s="2">
        <v>11.7</v>
      </c>
      <c r="M36" s="2">
        <f t="shared" si="7"/>
        <v>105.3</v>
      </c>
    </row>
    <row r="37" spans="1:13" x14ac:dyDescent="0.25">
      <c r="A37" s="32" t="s">
        <v>123</v>
      </c>
      <c r="B37" s="7"/>
      <c r="C37" s="2">
        <f t="shared" si="5"/>
        <v>7</v>
      </c>
      <c r="D37" s="2">
        <v>7.64</v>
      </c>
      <c r="E37" s="2"/>
      <c r="F37" s="2">
        <f t="shared" si="4"/>
        <v>53.48</v>
      </c>
      <c r="I37" s="32" t="s">
        <v>123</v>
      </c>
      <c r="J37" s="7"/>
      <c r="K37" s="2">
        <f t="shared" si="6"/>
        <v>0</v>
      </c>
      <c r="L37" s="2">
        <v>0</v>
      </c>
      <c r="M37" s="2">
        <f t="shared" si="7"/>
        <v>0</v>
      </c>
    </row>
    <row r="38" spans="1:13" x14ac:dyDescent="0.25">
      <c r="A38" s="32" t="s">
        <v>124</v>
      </c>
      <c r="B38" s="7"/>
      <c r="C38" s="2">
        <f t="shared" si="5"/>
        <v>6</v>
      </c>
      <c r="D38" s="2">
        <v>6.32</v>
      </c>
      <c r="E38" s="2"/>
      <c r="F38" s="2">
        <f t="shared" si="4"/>
        <v>37.92</v>
      </c>
      <c r="I38" s="32" t="s">
        <v>124</v>
      </c>
      <c r="J38" s="7"/>
      <c r="K38" s="2">
        <f t="shared" si="6"/>
        <v>1</v>
      </c>
      <c r="L38" s="2">
        <v>7.22</v>
      </c>
      <c r="M38" s="2">
        <f t="shared" si="7"/>
        <v>7.22</v>
      </c>
    </row>
    <row r="39" spans="1:13" x14ac:dyDescent="0.25">
      <c r="A39" s="32" t="s">
        <v>125</v>
      </c>
      <c r="B39" s="7"/>
      <c r="C39" s="2">
        <f t="shared" si="5"/>
        <v>0</v>
      </c>
      <c r="D39" s="2">
        <v>0</v>
      </c>
      <c r="E39" s="2"/>
      <c r="F39" s="2">
        <f t="shared" si="4"/>
        <v>0</v>
      </c>
      <c r="I39" s="32" t="s">
        <v>125</v>
      </c>
      <c r="J39" s="7"/>
      <c r="K39" s="2">
        <f t="shared" si="6"/>
        <v>1</v>
      </c>
      <c r="L39" s="2">
        <v>28.17</v>
      </c>
      <c r="M39" s="2">
        <v>0</v>
      </c>
    </row>
    <row r="40" spans="1:13" x14ac:dyDescent="0.25">
      <c r="A40" s="32" t="s">
        <v>126</v>
      </c>
      <c r="B40" s="7"/>
      <c r="C40" s="2">
        <f t="shared" si="5"/>
        <v>0</v>
      </c>
      <c r="D40" s="2">
        <v>0</v>
      </c>
      <c r="E40" s="2"/>
      <c r="F40" s="2">
        <f t="shared" si="4"/>
        <v>0</v>
      </c>
      <c r="I40" s="32" t="s">
        <v>126</v>
      </c>
      <c r="J40" s="7"/>
      <c r="K40" s="2">
        <f t="shared" si="6"/>
        <v>0</v>
      </c>
      <c r="L40" s="2">
        <v>0</v>
      </c>
      <c r="M40" s="2">
        <f>K40*L40</f>
        <v>0</v>
      </c>
    </row>
    <row r="41" spans="1:13" x14ac:dyDescent="0.25">
      <c r="A41" s="32" t="s">
        <v>30</v>
      </c>
      <c r="B41" s="7"/>
      <c r="C41" s="2">
        <f t="shared" si="5"/>
        <v>27</v>
      </c>
      <c r="D41" s="2">
        <f t="shared" si="5"/>
        <v>0</v>
      </c>
      <c r="E41" s="2"/>
      <c r="F41" s="2">
        <f>SUM(F33:F40)</f>
        <v>669.45999999999992</v>
      </c>
      <c r="I41" s="32" t="s">
        <v>30</v>
      </c>
      <c r="J41" s="7"/>
      <c r="K41" s="2">
        <f>K28</f>
        <v>27</v>
      </c>
      <c r="L41" s="7"/>
      <c r="M41" s="2">
        <f>SUM(M33:M40)</f>
        <v>764.09999999999991</v>
      </c>
    </row>
    <row r="45" spans="1:13" x14ac:dyDescent="0.25">
      <c r="A45" s="38" t="s">
        <v>141</v>
      </c>
      <c r="B45" s="39" t="s">
        <v>142</v>
      </c>
      <c r="C45" s="39" t="s">
        <v>143</v>
      </c>
    </row>
    <row r="46" spans="1:13" x14ac:dyDescent="0.25">
      <c r="A46" s="38">
        <v>6</v>
      </c>
      <c r="B46" s="38">
        <f>F28</f>
        <v>379.77</v>
      </c>
      <c r="C46" s="38">
        <f>M28</f>
        <v>553.83000000000004</v>
      </c>
    </row>
    <row r="47" spans="1:13" x14ac:dyDescent="0.25">
      <c r="A47" s="38">
        <v>5</v>
      </c>
      <c r="B47" s="38">
        <f>$F$14</f>
        <v>400.92</v>
      </c>
      <c r="C47" s="38">
        <f>$M$14</f>
        <v>643.69000000000005</v>
      </c>
    </row>
    <row r="48" spans="1:13" x14ac:dyDescent="0.25">
      <c r="A48" s="38">
        <v>4</v>
      </c>
      <c r="B48" s="38">
        <f>$F$14</f>
        <v>400.92</v>
      </c>
      <c r="C48" s="38">
        <f>$M$14</f>
        <v>643.69000000000005</v>
      </c>
    </row>
    <row r="49" spans="1:10" x14ac:dyDescent="0.25">
      <c r="A49" s="38">
        <v>3</v>
      </c>
      <c r="B49" s="38">
        <f>$F$14</f>
        <v>400.92</v>
      </c>
      <c r="C49" s="38">
        <f>$M$14</f>
        <v>643.69000000000005</v>
      </c>
    </row>
    <row r="50" spans="1:10" x14ac:dyDescent="0.25">
      <c r="A50" s="38">
        <v>2</v>
      </c>
      <c r="B50" s="38">
        <f>$F$14</f>
        <v>400.92</v>
      </c>
      <c r="C50" s="38">
        <f>$M$14</f>
        <v>643.69000000000005</v>
      </c>
    </row>
    <row r="51" spans="1:10" x14ac:dyDescent="0.25">
      <c r="A51" s="38">
        <v>1</v>
      </c>
      <c r="B51" s="38">
        <f>F41</f>
        <v>669.45999999999992</v>
      </c>
      <c r="C51" s="38">
        <f>M41</f>
        <v>764.09999999999991</v>
      </c>
    </row>
    <row r="54" spans="1:10" x14ac:dyDescent="0.25">
      <c r="A54" s="45" t="s">
        <v>144</v>
      </c>
    </row>
    <row r="56" spans="1:10" x14ac:dyDescent="0.25">
      <c r="A56" s="35" t="s">
        <v>141</v>
      </c>
      <c r="B56" s="35" t="s">
        <v>9</v>
      </c>
      <c r="C56" s="35" t="s">
        <v>119</v>
      </c>
      <c r="D56" s="35" t="s">
        <v>145</v>
      </c>
      <c r="E56" s="35" t="s">
        <v>98</v>
      </c>
      <c r="F56" s="35" t="s">
        <v>147</v>
      </c>
      <c r="G56" s="35" t="s">
        <v>237</v>
      </c>
      <c r="H56" s="35" t="s">
        <v>146</v>
      </c>
      <c r="J56" s="46"/>
    </row>
    <row r="57" spans="1:10" x14ac:dyDescent="0.25">
      <c r="A57" s="35">
        <v>6</v>
      </c>
      <c r="B57" s="47">
        <f>'masse e forze'!F20</f>
        <v>556.9415988634214</v>
      </c>
      <c r="C57" s="35">
        <f>B46</f>
        <v>379.77</v>
      </c>
      <c r="D57" s="47">
        <f t="shared" ref="D57:D62" si="8">B57/C57</f>
        <v>1.466523419078446</v>
      </c>
      <c r="E57" s="47">
        <f>'masse e forze'!E2</f>
        <v>459.45462283384308</v>
      </c>
      <c r="F57" s="47">
        <f>F58+D57</f>
        <v>22.93849466516048</v>
      </c>
      <c r="G57" s="47">
        <f>'masse e forze'!E20*F57</f>
        <v>12775.40189433454</v>
      </c>
      <c r="H57" s="50">
        <f>(E57*(F57^2))/1000</f>
        <v>241.75332367348645</v>
      </c>
    </row>
    <row r="58" spans="1:10" x14ac:dyDescent="0.25">
      <c r="A58" s="35">
        <v>5</v>
      </c>
      <c r="B58" s="47">
        <f>'masse e forze'!F21</f>
        <v>1172.7005974833633</v>
      </c>
      <c r="C58" s="35">
        <f t="shared" ref="C58:C61" si="9">B47</f>
        <v>400.92</v>
      </c>
      <c r="D58" s="47">
        <f t="shared" si="8"/>
        <v>2.925023938649514</v>
      </c>
      <c r="E58" s="47">
        <f>'masse e forze'!E3</f>
        <v>608.35524974515795</v>
      </c>
      <c r="F58" s="47">
        <f>F59+D58</f>
        <v>21.471971246082035</v>
      </c>
      <c r="G58" s="47">
        <f>'masse e forze'!E21*F58</f>
        <v>13221.559512883659</v>
      </c>
      <c r="H58" s="50">
        <f t="shared" ref="H58:H62" si="10">(E58*(F58^2))/1000</f>
        <v>280.47948022294167</v>
      </c>
    </row>
    <row r="59" spans="1:10" x14ac:dyDescent="0.25">
      <c r="A59" s="35">
        <v>4</v>
      </c>
      <c r="B59" s="47">
        <f>'masse e forze'!F22</f>
        <v>1666.7826682322986</v>
      </c>
      <c r="C59" s="35">
        <f t="shared" si="9"/>
        <v>400.92</v>
      </c>
      <c r="D59" s="47">
        <f t="shared" si="8"/>
        <v>4.1573946628561771</v>
      </c>
      <c r="E59" s="47">
        <f>'masse e forze'!E4</f>
        <v>608.35524974515795</v>
      </c>
      <c r="F59" s="47">
        <f>F60+D59</f>
        <v>18.546947307432522</v>
      </c>
      <c r="G59" s="47">
        <f>'masse e forze'!E22*F59</f>
        <v>9163.7141317276528</v>
      </c>
      <c r="H59" s="50">
        <f t="shared" si="10"/>
        <v>209.26766878517594</v>
      </c>
    </row>
    <row r="60" spans="1:10" x14ac:dyDescent="0.25">
      <c r="A60" s="35">
        <v>3</v>
      </c>
      <c r="B60" s="47">
        <f>'masse e forze'!F23</f>
        <v>2039.1878111102276</v>
      </c>
      <c r="C60" s="35">
        <f t="shared" si="9"/>
        <v>400.92</v>
      </c>
      <c r="D60" s="47">
        <f t="shared" si="8"/>
        <v>5.0862711042358262</v>
      </c>
      <c r="E60" s="47">
        <f>'masse e forze'!E5</f>
        <v>608.35524974515795</v>
      </c>
      <c r="F60" s="47">
        <f>F61+D60</f>
        <v>14.389552644576344</v>
      </c>
      <c r="G60" s="47">
        <f>'masse e forze'!E23*F60</f>
        <v>5358.7434085529339</v>
      </c>
      <c r="H60" s="50">
        <f t="shared" si="10"/>
        <v>125.96556672613305</v>
      </c>
    </row>
    <row r="61" spans="1:10" x14ac:dyDescent="0.25">
      <c r="A61" s="35">
        <v>2</v>
      </c>
      <c r="B61" s="47">
        <f>'masse e forze'!F24</f>
        <v>2289.9160261171501</v>
      </c>
      <c r="C61" s="35">
        <f t="shared" si="9"/>
        <v>400.92</v>
      </c>
      <c r="D61" s="47">
        <f t="shared" si="8"/>
        <v>5.7116532627884613</v>
      </c>
      <c r="E61" s="47">
        <f>'masse e forze'!E6</f>
        <v>608.35524974515795</v>
      </c>
      <c r="F61" s="47">
        <f>F62+D61</f>
        <v>9.3032815403405191</v>
      </c>
      <c r="G61" s="47">
        <f>'masse e forze'!E24*F61</f>
        <v>2332.5951743164305</v>
      </c>
      <c r="H61" s="50">
        <f t="shared" si="10"/>
        <v>52.653784068193822</v>
      </c>
      <c r="I61" t="s">
        <v>178</v>
      </c>
      <c r="J61" t="s">
        <v>179</v>
      </c>
    </row>
    <row r="62" spans="1:10" x14ac:dyDescent="0.25">
      <c r="A62" s="35">
        <v>1</v>
      </c>
      <c r="B62" s="47">
        <f>'masse e forze'!F25</f>
        <v>2404.4514666900004</v>
      </c>
      <c r="C62" s="35">
        <f>B51</f>
        <v>669.45999999999992</v>
      </c>
      <c r="D62" s="47">
        <f t="shared" si="8"/>
        <v>3.5916282775520578</v>
      </c>
      <c r="E62" s="47">
        <f>'masse e forze'!E7</f>
        <v>539.92670744138638</v>
      </c>
      <c r="F62" s="47">
        <f>D62</f>
        <v>3.5916282775520578</v>
      </c>
      <c r="G62" s="47">
        <f>'masse e forze'!E25*F62</f>
        <v>411.36872714333248</v>
      </c>
      <c r="H62" s="50">
        <f t="shared" si="10"/>
        <v>6.9649431305355467</v>
      </c>
    </row>
    <row r="63" spans="1:10" x14ac:dyDescent="0.25">
      <c r="A63" s="7"/>
      <c r="B63" s="7"/>
      <c r="C63" s="7"/>
      <c r="D63" s="7"/>
      <c r="E63" s="7"/>
      <c r="F63" s="32" t="s">
        <v>30</v>
      </c>
      <c r="G63" s="47">
        <f>SUM(G57:G62)</f>
        <v>43263.38284895855</v>
      </c>
      <c r="H63" s="50">
        <f>SUM(H57:H62)</f>
        <v>917.08476660646636</v>
      </c>
    </row>
    <row r="64" spans="1:10" x14ac:dyDescent="0.25">
      <c r="A64" s="7"/>
      <c r="B64" s="7"/>
      <c r="C64" s="7"/>
      <c r="D64" s="7"/>
      <c r="E64" s="7"/>
      <c r="F64" s="74" t="s">
        <v>148</v>
      </c>
      <c r="G64" s="150">
        <f>2*PI()*SQRT(H63/G63)</f>
        <v>0.91479623971647506</v>
      </c>
      <c r="H64" s="7"/>
    </row>
    <row r="68" spans="1:9" x14ac:dyDescent="0.25">
      <c r="A68" s="35" t="s">
        <v>141</v>
      </c>
      <c r="B68" s="35" t="s">
        <v>9</v>
      </c>
      <c r="C68" s="35" t="s">
        <v>122</v>
      </c>
      <c r="D68" s="35" t="s">
        <v>145</v>
      </c>
      <c r="E68" s="35" t="s">
        <v>98</v>
      </c>
      <c r="F68" s="35" t="s">
        <v>235</v>
      </c>
      <c r="G68" s="35" t="s">
        <v>236</v>
      </c>
      <c r="H68" s="35" t="s">
        <v>146</v>
      </c>
    </row>
    <row r="69" spans="1:9" x14ac:dyDescent="0.25">
      <c r="A69" s="35">
        <v>6</v>
      </c>
      <c r="B69" s="47">
        <f>B57</f>
        <v>556.9415988634214</v>
      </c>
      <c r="C69" s="35">
        <f>C46</f>
        <v>553.83000000000004</v>
      </c>
      <c r="D69" s="47">
        <f t="shared" ref="D69:D74" si="11">B69/C69</f>
        <v>1.0056183284824249</v>
      </c>
      <c r="E69" s="47">
        <f>E57</f>
        <v>459.45462283384308</v>
      </c>
      <c r="F69" s="47">
        <f>F70+D69</f>
        <v>15.289101500937587</v>
      </c>
      <c r="G69" s="47">
        <f>F69*'masse e forze'!E20</f>
        <v>8515.1366351173165</v>
      </c>
      <c r="H69" s="48">
        <f>(E69*(F69^2))/1000</f>
        <v>107.40056183919457</v>
      </c>
    </row>
    <row r="70" spans="1:9" x14ac:dyDescent="0.25">
      <c r="A70" s="35">
        <v>5</v>
      </c>
      <c r="B70" s="47">
        <f t="shared" ref="B70:B74" si="12">B58</f>
        <v>1172.7005974833633</v>
      </c>
      <c r="C70" s="35">
        <f t="shared" ref="C70:C74" si="13">C47</f>
        <v>643.69000000000005</v>
      </c>
      <c r="D70" s="47">
        <f t="shared" si="11"/>
        <v>1.8218406336642843</v>
      </c>
      <c r="E70" s="47">
        <f t="shared" ref="E70:E74" si="14">E58</f>
        <v>608.35524974515795</v>
      </c>
      <c r="F70" s="47">
        <f>F71+D70</f>
        <v>14.283483172455162</v>
      </c>
      <c r="G70" s="47">
        <f>F70*'masse e forze'!E21</f>
        <v>8795.1832950757798</v>
      </c>
      <c r="H70" s="48">
        <f t="shared" ref="H70:H74" si="15">(E70*(F70^2))/1000</f>
        <v>124.11535535896481</v>
      </c>
    </row>
    <row r="71" spans="1:9" x14ac:dyDescent="0.25">
      <c r="A71" s="35">
        <v>4</v>
      </c>
      <c r="B71" s="47">
        <f t="shared" si="12"/>
        <v>1666.7826682322986</v>
      </c>
      <c r="C71" s="35">
        <f t="shared" si="13"/>
        <v>643.69000000000005</v>
      </c>
      <c r="D71" s="47">
        <f t="shared" si="11"/>
        <v>2.5894183042027969</v>
      </c>
      <c r="E71" s="47">
        <f t="shared" si="14"/>
        <v>608.35524974515795</v>
      </c>
      <c r="F71" s="47">
        <f>F72+D71</f>
        <v>12.461642538790878</v>
      </c>
      <c r="G71" s="47">
        <f>F71*'masse e forze'!E22</f>
        <v>6157.0741504988173</v>
      </c>
      <c r="H71" s="48">
        <f t="shared" si="15"/>
        <v>94.473028770278276</v>
      </c>
    </row>
    <row r="72" spans="1:9" x14ac:dyDescent="0.25">
      <c r="A72" s="35">
        <v>3</v>
      </c>
      <c r="B72" s="47">
        <f t="shared" si="12"/>
        <v>2039.1878111102276</v>
      </c>
      <c r="C72" s="35">
        <f t="shared" si="13"/>
        <v>643.69000000000005</v>
      </c>
      <c r="D72" s="47">
        <f t="shared" si="11"/>
        <v>3.1679656528922733</v>
      </c>
      <c r="E72" s="47">
        <f t="shared" si="14"/>
        <v>608.35524974515795</v>
      </c>
      <c r="F72" s="47">
        <f>F73+D72</f>
        <v>9.8722242345880815</v>
      </c>
      <c r="G72" s="47">
        <f>F72*'masse e forze'!E23</f>
        <v>3676.467076604727</v>
      </c>
      <c r="H72" s="48">
        <f t="shared" si="15"/>
        <v>59.290796221887554</v>
      </c>
    </row>
    <row r="73" spans="1:9" x14ac:dyDescent="0.25">
      <c r="A73" s="35">
        <v>2</v>
      </c>
      <c r="B73" s="47">
        <f t="shared" si="12"/>
        <v>2289.9160261171501</v>
      </c>
      <c r="C73" s="35">
        <f t="shared" si="13"/>
        <v>643.69000000000005</v>
      </c>
      <c r="D73" s="47">
        <f t="shared" si="11"/>
        <v>3.5574826797327126</v>
      </c>
      <c r="E73" s="47">
        <f t="shared" si="14"/>
        <v>608.35524974515795</v>
      </c>
      <c r="F73" s="47">
        <f>F74+D73</f>
        <v>6.7042585816958074</v>
      </c>
      <c r="G73" s="47">
        <f>F73*'masse e forze'!E24</f>
        <v>1680.9467871334314</v>
      </c>
      <c r="H73" s="48">
        <f t="shared" si="15"/>
        <v>27.343793983014674</v>
      </c>
    </row>
    <row r="74" spans="1:9" x14ac:dyDescent="0.25">
      <c r="A74" s="35">
        <v>1</v>
      </c>
      <c r="B74" s="47">
        <f t="shared" si="12"/>
        <v>2404.4514666900004</v>
      </c>
      <c r="C74" s="35">
        <f t="shared" si="13"/>
        <v>764.09999999999991</v>
      </c>
      <c r="D74" s="47">
        <f t="shared" si="11"/>
        <v>3.1467759019630948</v>
      </c>
      <c r="E74" s="47">
        <f t="shared" si="14"/>
        <v>539.92670744138638</v>
      </c>
      <c r="F74" s="47">
        <f>D74</f>
        <v>3.1467759019630948</v>
      </c>
      <c r="G74" s="47">
        <f>F74*'masse e forze'!E25</f>
        <v>360.41736431537151</v>
      </c>
      <c r="H74" s="48">
        <f t="shared" si="15"/>
        <v>5.3464614742052294</v>
      </c>
    </row>
    <row r="75" spans="1:9" x14ac:dyDescent="0.25">
      <c r="A75" s="7"/>
      <c r="B75" s="7"/>
      <c r="C75" s="7"/>
      <c r="D75" s="7"/>
      <c r="E75" s="7"/>
      <c r="F75" s="32" t="s">
        <v>30</v>
      </c>
      <c r="G75" s="49">
        <f>SUM(G69:G74)</f>
        <v>29185.225308745441</v>
      </c>
      <c r="H75" s="48">
        <f>SUM(H69:H74)</f>
        <v>417.96999764754509</v>
      </c>
    </row>
    <row r="76" spans="1:9" x14ac:dyDescent="0.25">
      <c r="A76" s="7"/>
      <c r="B76" s="7"/>
      <c r="C76" s="7"/>
      <c r="D76" s="7"/>
      <c r="E76" s="7"/>
      <c r="F76" s="74" t="s">
        <v>150</v>
      </c>
      <c r="G76" s="111">
        <f>2*PI()*SQRT(H75/G75)</f>
        <v>0.75191872042800334</v>
      </c>
      <c r="H76" s="7"/>
      <c r="I76" s="84">
        <v>0.70899999999999996</v>
      </c>
    </row>
    <row r="79" spans="1:9" x14ac:dyDescent="0.25">
      <c r="B79" s="52" t="s">
        <v>141</v>
      </c>
      <c r="C79" s="52" t="s">
        <v>151</v>
      </c>
      <c r="D79" s="52" t="s">
        <v>152</v>
      </c>
      <c r="E79" s="51"/>
      <c r="F79" s="60" t="s">
        <v>180</v>
      </c>
      <c r="G79" s="39"/>
    </row>
    <row r="80" spans="1:9" x14ac:dyDescent="0.25">
      <c r="B80" s="8">
        <v>6</v>
      </c>
      <c r="C80" s="10">
        <f>F28/D20</f>
        <v>13.946749908189496</v>
      </c>
      <c r="D80" s="10">
        <f>M28/L20</f>
        <v>16.429249480866211</v>
      </c>
      <c r="F80" s="39" t="s">
        <v>181</v>
      </c>
      <c r="G80" s="39">
        <v>13</v>
      </c>
    </row>
    <row r="81" spans="2:7" x14ac:dyDescent="0.25">
      <c r="B81" s="8" t="s">
        <v>153</v>
      </c>
      <c r="C81" s="10">
        <f>F14/D6</f>
        <v>13.016883116883117</v>
      </c>
      <c r="D81" s="10">
        <f>M14/L6</f>
        <v>15.815479115479116</v>
      </c>
      <c r="F81" s="39" t="s">
        <v>182</v>
      </c>
      <c r="G81" s="39">
        <v>13</v>
      </c>
    </row>
    <row r="82" spans="2:7" x14ac:dyDescent="0.25">
      <c r="B82" s="8">
        <v>1</v>
      </c>
      <c r="C82" s="21">
        <f>F41/D33</f>
        <v>15.033909723781719</v>
      </c>
      <c r="D82" s="10">
        <f>M41/L33</f>
        <v>14.970611285266456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opLeftCell="A19" zoomScale="95" zoomScaleNormal="95" workbookViewId="0">
      <selection activeCell="K86" sqref="K86"/>
    </sheetView>
  </sheetViews>
  <sheetFormatPr defaultRowHeight="15" x14ac:dyDescent="0.25"/>
  <cols>
    <col min="1" max="1" width="9.28515625" bestFit="1" customWidth="1"/>
    <col min="14" max="14" width="11.28515625" customWidth="1"/>
  </cols>
  <sheetData>
    <row r="1" spans="1:19" x14ac:dyDescent="0.25">
      <c r="A1" s="15" t="s">
        <v>154</v>
      </c>
      <c r="B1" s="15"/>
    </row>
    <row r="4" spans="1:19" x14ac:dyDescent="0.25">
      <c r="M4" s="15" t="s">
        <v>160</v>
      </c>
      <c r="N4" s="15">
        <f>N39/M39</f>
        <v>12.049754798962388</v>
      </c>
      <c r="O4" s="15" t="s">
        <v>161</v>
      </c>
      <c r="P4" s="15">
        <v>11.99</v>
      </c>
      <c r="R4" s="15" t="s">
        <v>244</v>
      </c>
      <c r="S4">
        <f>N4-P4</f>
        <v>5.9754798962387667E-2</v>
      </c>
    </row>
    <row r="7" spans="1:19" x14ac:dyDescent="0.25">
      <c r="B7" t="s">
        <v>156</v>
      </c>
      <c r="C7">
        <v>0.15</v>
      </c>
      <c r="E7" s="53">
        <v>5.8250000000000002</v>
      </c>
      <c r="G7" s="1">
        <v>12.9</v>
      </c>
      <c r="I7" s="53">
        <v>18.562200000000001</v>
      </c>
      <c r="K7" s="1">
        <v>25.83</v>
      </c>
      <c r="M7" s="39" t="s">
        <v>157</v>
      </c>
      <c r="N7" s="39" t="s">
        <v>158</v>
      </c>
      <c r="O7" s="39" t="s">
        <v>159</v>
      </c>
    </row>
    <row r="8" spans="1:19" x14ac:dyDescent="0.25">
      <c r="A8" t="s">
        <v>155</v>
      </c>
      <c r="M8" s="39"/>
      <c r="N8" s="39"/>
      <c r="O8" s="39"/>
    </row>
    <row r="9" spans="1:19" x14ac:dyDescent="0.25">
      <c r="A9" s="1">
        <v>25.03</v>
      </c>
      <c r="G9" s="2">
        <f>C22</f>
        <v>20.350000000000001</v>
      </c>
      <c r="H9" s="1"/>
      <c r="I9" s="2">
        <f>E22</f>
        <v>30.8</v>
      </c>
      <c r="J9" s="1"/>
      <c r="K9" s="2">
        <f>K19</f>
        <v>20.350000000000001</v>
      </c>
      <c r="M9" s="38">
        <f>G9+I9+K9</f>
        <v>71.5</v>
      </c>
      <c r="N9" s="55">
        <f>M9*A9</f>
        <v>1789.645</v>
      </c>
      <c r="O9" s="39">
        <f>M9*(A9^2)</f>
        <v>44794.814350000001</v>
      </c>
    </row>
    <row r="10" spans="1:19" x14ac:dyDescent="0.25">
      <c r="G10" s="1"/>
      <c r="H10" s="1"/>
      <c r="I10" s="1"/>
      <c r="J10" s="1"/>
      <c r="K10" s="1"/>
      <c r="M10" s="38"/>
      <c r="N10" s="55"/>
      <c r="O10" s="39"/>
    </row>
    <row r="11" spans="1:19" x14ac:dyDescent="0.25">
      <c r="G11" s="1"/>
      <c r="H11" s="1"/>
      <c r="I11" s="1"/>
      <c r="J11" s="1"/>
      <c r="K11" s="1"/>
      <c r="M11" s="38"/>
      <c r="N11" s="55"/>
      <c r="O11" s="39"/>
    </row>
    <row r="12" spans="1:19" x14ac:dyDescent="0.25">
      <c r="G12" s="1"/>
      <c r="H12" s="1"/>
      <c r="I12" s="1"/>
      <c r="J12" s="1"/>
      <c r="K12" s="1"/>
      <c r="M12" s="38"/>
      <c r="N12" s="55"/>
      <c r="O12" s="39"/>
    </row>
    <row r="13" spans="1:19" x14ac:dyDescent="0.25">
      <c r="G13" s="1"/>
      <c r="H13" s="1"/>
      <c r="I13" s="1"/>
      <c r="J13" s="1"/>
      <c r="K13" s="1"/>
      <c r="M13" s="38"/>
      <c r="N13" s="55"/>
      <c r="O13" s="39"/>
    </row>
    <row r="14" spans="1:19" x14ac:dyDescent="0.25">
      <c r="A14" s="54">
        <v>21.352599999999999</v>
      </c>
      <c r="G14" s="2">
        <v>3.17</v>
      </c>
      <c r="H14" s="1"/>
      <c r="I14" s="2">
        <v>4.9000000000000004</v>
      </c>
      <c r="J14" s="1"/>
      <c r="K14" s="2">
        <v>3.17</v>
      </c>
      <c r="M14" s="38">
        <f>G14+I14+K14</f>
        <v>11.24</v>
      </c>
      <c r="N14" s="55">
        <f>M14*A14</f>
        <v>240.00322399999999</v>
      </c>
      <c r="O14" s="39">
        <f t="shared" ref="O14:O37" si="0">M14*(A14^2)</f>
        <v>5124.6928407823998</v>
      </c>
    </row>
    <row r="15" spans="1:19" x14ac:dyDescent="0.25">
      <c r="G15" s="1"/>
      <c r="H15" s="1"/>
      <c r="I15" s="1"/>
      <c r="J15" s="1"/>
      <c r="K15" s="1"/>
      <c r="M15" s="38"/>
      <c r="N15" s="55"/>
      <c r="O15" s="39"/>
    </row>
    <row r="16" spans="1:19" x14ac:dyDescent="0.25">
      <c r="G16" s="1"/>
      <c r="H16" s="1"/>
      <c r="I16" s="1"/>
      <c r="J16" s="1"/>
      <c r="K16" s="1"/>
      <c r="M16" s="38"/>
      <c r="N16" s="55"/>
      <c r="O16" s="39"/>
    </row>
    <row r="17" spans="1:15" x14ac:dyDescent="0.25">
      <c r="G17" s="1"/>
      <c r="H17" s="1"/>
      <c r="I17" s="1"/>
      <c r="J17" s="1"/>
      <c r="K17" s="1"/>
      <c r="M17" s="38"/>
      <c r="N17" s="55"/>
      <c r="O17" s="39"/>
    </row>
    <row r="18" spans="1:15" x14ac:dyDescent="0.25">
      <c r="G18" s="1"/>
      <c r="H18" s="1"/>
      <c r="I18" s="1"/>
      <c r="J18" s="1"/>
      <c r="K18" s="1"/>
      <c r="M18" s="38"/>
      <c r="N18" s="55"/>
      <c r="O18" s="39"/>
    </row>
    <row r="19" spans="1:15" x14ac:dyDescent="0.25">
      <c r="A19" s="53">
        <v>16.060099999999998</v>
      </c>
      <c r="G19" s="2">
        <f>C22</f>
        <v>20.350000000000001</v>
      </c>
      <c r="H19" s="1"/>
      <c r="I19" s="2">
        <f>E22</f>
        <v>30.8</v>
      </c>
      <c r="J19" s="1"/>
      <c r="K19" s="2">
        <f>C22</f>
        <v>20.350000000000001</v>
      </c>
      <c r="M19" s="38">
        <f>G19+I19+K19</f>
        <v>71.5</v>
      </c>
      <c r="N19" s="55">
        <f>M19*A19</f>
        <v>1148.2971499999999</v>
      </c>
      <c r="O19" s="39">
        <f t="shared" si="0"/>
        <v>18441.767058714995</v>
      </c>
    </row>
    <row r="20" spans="1:15" x14ac:dyDescent="0.25">
      <c r="A20" s="16"/>
      <c r="M20" s="38"/>
      <c r="N20" s="55"/>
      <c r="O20" s="39"/>
    </row>
    <row r="21" spans="1:15" x14ac:dyDescent="0.25">
      <c r="A21" s="16"/>
      <c r="M21" s="38"/>
      <c r="N21" s="55"/>
      <c r="O21" s="39"/>
    </row>
    <row r="22" spans="1:15" x14ac:dyDescent="0.25">
      <c r="A22" s="53">
        <v>14.23</v>
      </c>
      <c r="C22" s="2">
        <f>C37</f>
        <v>20.350000000000001</v>
      </c>
      <c r="D22" s="1"/>
      <c r="E22" s="2">
        <f>E37</f>
        <v>30.8</v>
      </c>
      <c r="F22" s="1"/>
      <c r="G22" s="2">
        <f>C37</f>
        <v>20.350000000000001</v>
      </c>
      <c r="M22" s="38">
        <f>C22+E22+G22</f>
        <v>71.5</v>
      </c>
      <c r="N22" s="55">
        <f>M22*A22</f>
        <v>1017.4450000000001</v>
      </c>
      <c r="O22" s="39">
        <f t="shared" si="0"/>
        <v>14478.242350000002</v>
      </c>
    </row>
    <row r="23" spans="1:15" x14ac:dyDescent="0.25">
      <c r="A23" s="53"/>
      <c r="M23" s="38"/>
      <c r="N23" s="55"/>
      <c r="O23" s="39"/>
    </row>
    <row r="24" spans="1:15" x14ac:dyDescent="0.25">
      <c r="A24" s="53"/>
      <c r="M24" s="38"/>
      <c r="N24" s="55"/>
      <c r="O24" s="39"/>
    </row>
    <row r="25" spans="1:15" x14ac:dyDescent="0.25">
      <c r="A25" s="53"/>
      <c r="M25" s="38"/>
      <c r="N25" s="55"/>
      <c r="O25" s="39"/>
    </row>
    <row r="26" spans="1:15" x14ac:dyDescent="0.25">
      <c r="A26" s="53"/>
      <c r="M26" s="38"/>
      <c r="N26" s="55"/>
      <c r="O26" s="39"/>
    </row>
    <row r="27" spans="1:15" x14ac:dyDescent="0.25">
      <c r="A27" s="53">
        <v>10.428000000000001</v>
      </c>
      <c r="C27" s="2">
        <v>3.17</v>
      </c>
      <c r="D27" s="1"/>
      <c r="E27" s="2">
        <v>4.9000000000000004</v>
      </c>
      <c r="F27" s="1"/>
      <c r="G27" s="2">
        <v>4.9000000000000004</v>
      </c>
      <c r="H27" s="1"/>
      <c r="I27" s="2">
        <v>4.9000000000000004</v>
      </c>
      <c r="J27" s="1"/>
      <c r="K27" s="2">
        <v>3.17</v>
      </c>
      <c r="M27" s="38">
        <f>C27+E27+G27+I27+K27</f>
        <v>21.04</v>
      </c>
      <c r="N27" s="55">
        <f>M27*A27</f>
        <v>219.40512000000001</v>
      </c>
      <c r="O27" s="39">
        <f t="shared" si="0"/>
        <v>2287.9565913600004</v>
      </c>
    </row>
    <row r="28" spans="1:15" x14ac:dyDescent="0.25">
      <c r="A28" s="53"/>
      <c r="M28" s="38"/>
      <c r="N28" s="55"/>
      <c r="O28" s="39"/>
    </row>
    <row r="29" spans="1:15" x14ac:dyDescent="0.25">
      <c r="A29" s="53"/>
      <c r="C29" s="1"/>
      <c r="M29" s="38"/>
      <c r="N29" s="55"/>
      <c r="O29" s="39"/>
    </row>
    <row r="30" spans="1:15" x14ac:dyDescent="0.25">
      <c r="A30" s="53"/>
      <c r="C30" s="1"/>
      <c r="M30" s="38"/>
      <c r="N30" s="55"/>
      <c r="O30" s="39"/>
    </row>
    <row r="31" spans="1:15" x14ac:dyDescent="0.25">
      <c r="A31" s="53"/>
      <c r="C31" s="1"/>
      <c r="M31" s="38"/>
      <c r="N31" s="55"/>
      <c r="O31" s="39"/>
    </row>
    <row r="32" spans="1:15" x14ac:dyDescent="0.25">
      <c r="A32" s="53">
        <v>6.18</v>
      </c>
      <c r="C32" s="2">
        <v>3.17</v>
      </c>
      <c r="E32" s="2">
        <v>4.9000000000000004</v>
      </c>
      <c r="F32" s="1"/>
      <c r="G32" s="2">
        <v>4.9000000000000004</v>
      </c>
      <c r="H32" s="1"/>
      <c r="I32" s="2">
        <v>4.9000000000000004</v>
      </c>
      <c r="J32" s="1"/>
      <c r="K32" s="2">
        <v>3.17</v>
      </c>
      <c r="M32" s="38">
        <f>C32+E32+G32+I32+K32</f>
        <v>21.04</v>
      </c>
      <c r="N32" s="55">
        <f>M32*A32</f>
        <v>130.02719999999999</v>
      </c>
      <c r="O32" s="39">
        <f t="shared" si="0"/>
        <v>803.56809599999997</v>
      </c>
    </row>
    <row r="33" spans="1:15" x14ac:dyDescent="0.25">
      <c r="A33" s="1"/>
      <c r="M33" s="38"/>
      <c r="N33" s="55"/>
      <c r="O33" s="39"/>
    </row>
    <row r="34" spans="1:15" x14ac:dyDescent="0.25">
      <c r="A34" s="1"/>
      <c r="M34" s="38"/>
      <c r="N34" s="55"/>
      <c r="O34" s="39"/>
    </row>
    <row r="35" spans="1:15" x14ac:dyDescent="0.25">
      <c r="A35" s="1"/>
      <c r="M35" s="38"/>
      <c r="N35" s="55"/>
      <c r="O35" s="39"/>
    </row>
    <row r="36" spans="1:15" x14ac:dyDescent="0.25">
      <c r="A36" s="1"/>
      <c r="M36" s="38"/>
      <c r="N36" s="55"/>
      <c r="O36" s="39"/>
    </row>
    <row r="37" spans="1:15" x14ac:dyDescent="0.25">
      <c r="A37" s="1">
        <v>2.15</v>
      </c>
      <c r="C37" s="2">
        <f>rigidezze!D7</f>
        <v>20.350000000000001</v>
      </c>
      <c r="E37" s="2">
        <f>rigidezze!D6</f>
        <v>30.8</v>
      </c>
      <c r="F37" s="1"/>
      <c r="G37" s="2">
        <f>E37</f>
        <v>30.8</v>
      </c>
      <c r="H37" s="1"/>
      <c r="I37" s="2">
        <f>G37</f>
        <v>30.8</v>
      </c>
      <c r="J37" s="1"/>
      <c r="K37" s="2">
        <f>C37</f>
        <v>20.350000000000001</v>
      </c>
      <c r="M37" s="38">
        <f>C37+E37+G37+I37+K37</f>
        <v>133.1</v>
      </c>
      <c r="N37" s="55">
        <f>M37*A37</f>
        <v>286.16499999999996</v>
      </c>
      <c r="O37" s="39">
        <f t="shared" si="0"/>
        <v>615.25474999999994</v>
      </c>
    </row>
    <row r="39" spans="1:15" x14ac:dyDescent="0.25">
      <c r="M39" s="56">
        <f>SUM(M9:M37)</f>
        <v>400.91999999999996</v>
      </c>
      <c r="N39" s="57">
        <f>SUM(N9:N37)</f>
        <v>4830.9876940000004</v>
      </c>
      <c r="O39" s="56">
        <f>SUM(O9:O37)</f>
        <v>86546.296036857384</v>
      </c>
    </row>
    <row r="42" spans="1:15" x14ac:dyDescent="0.25">
      <c r="A42" s="15" t="s">
        <v>162</v>
      </c>
      <c r="B42" s="15"/>
      <c r="C42" s="15"/>
    </row>
    <row r="46" spans="1:15" x14ac:dyDescent="0.25">
      <c r="B46" t="s">
        <v>156</v>
      </c>
      <c r="C46">
        <v>0.15</v>
      </c>
      <c r="E46" s="53">
        <v>5.8250000000000002</v>
      </c>
      <c r="G46" s="1">
        <v>12.9</v>
      </c>
      <c r="I46" s="53">
        <v>18.562200000000001</v>
      </c>
      <c r="K46" s="1">
        <v>25.83</v>
      </c>
    </row>
    <row r="47" spans="1:15" x14ac:dyDescent="0.25">
      <c r="A47" t="s">
        <v>155</v>
      </c>
    </row>
    <row r="48" spans="1:15" x14ac:dyDescent="0.25">
      <c r="A48" s="1">
        <v>25.03</v>
      </c>
      <c r="G48" s="2">
        <f>rigidezze!L9</f>
        <v>11.64</v>
      </c>
      <c r="H48" s="1"/>
      <c r="I48" s="2">
        <f>G48</f>
        <v>11.64</v>
      </c>
      <c r="J48" s="1"/>
      <c r="K48" s="2">
        <f>G48</f>
        <v>11.64</v>
      </c>
    </row>
    <row r="49" spans="1:11" x14ac:dyDescent="0.25">
      <c r="G49" s="1"/>
      <c r="H49" s="1"/>
      <c r="I49" s="1"/>
      <c r="J49" s="1"/>
      <c r="K49" s="1"/>
    </row>
    <row r="50" spans="1:11" x14ac:dyDescent="0.25">
      <c r="G50" s="1"/>
      <c r="H50" s="1"/>
      <c r="I50" s="1"/>
      <c r="J50" s="1"/>
      <c r="K50" s="1"/>
    </row>
    <row r="51" spans="1:11" x14ac:dyDescent="0.25">
      <c r="G51" s="1"/>
      <c r="H51" s="1"/>
      <c r="I51" s="1"/>
      <c r="J51" s="1"/>
      <c r="K51" s="1"/>
    </row>
    <row r="52" spans="1:11" x14ac:dyDescent="0.25">
      <c r="G52" s="1"/>
      <c r="H52" s="1"/>
      <c r="I52" s="1"/>
      <c r="J52" s="1"/>
      <c r="K52" s="1"/>
    </row>
    <row r="53" spans="1:11" x14ac:dyDescent="0.25">
      <c r="A53" s="54">
        <v>21.352599999999999</v>
      </c>
      <c r="G53" s="12">
        <f>C71</f>
        <v>40.700000000000003</v>
      </c>
      <c r="H53" s="1"/>
      <c r="I53" s="12">
        <f>C71</f>
        <v>40.700000000000003</v>
      </c>
      <c r="J53" s="1"/>
      <c r="K53" s="12">
        <f>C71</f>
        <v>40.700000000000003</v>
      </c>
    </row>
    <row r="54" spans="1:11" x14ac:dyDescent="0.25">
      <c r="G54" s="1"/>
      <c r="H54" s="1"/>
      <c r="I54" s="1"/>
      <c r="J54" s="1"/>
      <c r="K54" s="1"/>
    </row>
    <row r="55" spans="1:11" x14ac:dyDescent="0.25">
      <c r="G55" s="1"/>
      <c r="H55" s="1"/>
      <c r="I55" s="1"/>
      <c r="J55" s="1"/>
      <c r="K55" s="1"/>
    </row>
    <row r="56" spans="1:11" x14ac:dyDescent="0.25">
      <c r="G56" s="1"/>
      <c r="H56" s="1"/>
      <c r="I56" s="1"/>
      <c r="J56" s="1"/>
      <c r="K56" s="1"/>
    </row>
    <row r="57" spans="1:11" x14ac:dyDescent="0.25">
      <c r="G57" s="1"/>
      <c r="H57" s="1"/>
      <c r="I57" s="1"/>
      <c r="J57" s="1"/>
      <c r="K57" s="1"/>
    </row>
    <row r="58" spans="1:11" x14ac:dyDescent="0.25">
      <c r="A58" s="53">
        <v>16.060099999999998</v>
      </c>
      <c r="G58" s="2">
        <f>G61</f>
        <v>12.71</v>
      </c>
      <c r="H58" s="1"/>
      <c r="I58" s="2">
        <f>G61</f>
        <v>12.71</v>
      </c>
      <c r="J58" s="1"/>
      <c r="K58" s="2">
        <f>G61</f>
        <v>12.71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53">
        <v>14.23</v>
      </c>
      <c r="C61" s="2">
        <f>C76</f>
        <v>11.64</v>
      </c>
      <c r="D61" s="1"/>
      <c r="E61" s="2">
        <v>4.32</v>
      </c>
      <c r="F61" s="1"/>
      <c r="G61" s="2">
        <f>rigidezze!L8</f>
        <v>12.71</v>
      </c>
    </row>
    <row r="62" spans="1:11" x14ac:dyDescent="0.25">
      <c r="A62" s="53"/>
    </row>
    <row r="63" spans="1:11" x14ac:dyDescent="0.25">
      <c r="A63" s="53"/>
    </row>
    <row r="64" spans="1:11" x14ac:dyDescent="0.25">
      <c r="A64" s="53"/>
    </row>
    <row r="65" spans="1:19" x14ac:dyDescent="0.25">
      <c r="A65" s="53"/>
    </row>
    <row r="66" spans="1:19" x14ac:dyDescent="0.25">
      <c r="A66" s="53">
        <v>10.428000000000001</v>
      </c>
      <c r="C66" s="12">
        <f>rigidezze!L6</f>
        <v>40.700000000000003</v>
      </c>
      <c r="D66" s="1"/>
      <c r="E66" s="2">
        <v>9.8699999999999992</v>
      </c>
      <c r="F66" s="1"/>
      <c r="G66" s="12">
        <f>C71</f>
        <v>40.700000000000003</v>
      </c>
      <c r="H66" s="1"/>
      <c r="I66" s="12">
        <f>C71</f>
        <v>40.700000000000003</v>
      </c>
      <c r="J66" s="1"/>
      <c r="K66" s="12">
        <f>C71</f>
        <v>40.700000000000003</v>
      </c>
    </row>
    <row r="67" spans="1:19" x14ac:dyDescent="0.25">
      <c r="A67" s="53"/>
    </row>
    <row r="68" spans="1:19" x14ac:dyDescent="0.25">
      <c r="A68" s="53"/>
      <c r="C68" s="1"/>
    </row>
    <row r="69" spans="1:19" x14ac:dyDescent="0.25">
      <c r="A69" s="53"/>
      <c r="C69" s="1"/>
    </row>
    <row r="70" spans="1:19" x14ac:dyDescent="0.25">
      <c r="A70" s="53"/>
      <c r="C70" s="1"/>
    </row>
    <row r="71" spans="1:19" x14ac:dyDescent="0.25">
      <c r="A71" s="53">
        <v>6.18</v>
      </c>
      <c r="C71" s="12">
        <f>rigidezze!L6</f>
        <v>40.700000000000003</v>
      </c>
      <c r="E71" s="2">
        <f>rigidezze!L7</f>
        <v>26.2</v>
      </c>
      <c r="F71" s="1"/>
      <c r="G71" s="12">
        <f>C71</f>
        <v>40.700000000000003</v>
      </c>
      <c r="H71" s="1"/>
      <c r="I71" s="12">
        <f>C71</f>
        <v>40.700000000000003</v>
      </c>
      <c r="J71" s="1"/>
      <c r="K71" s="12">
        <f>C71</f>
        <v>40.700000000000003</v>
      </c>
    </row>
    <row r="72" spans="1:19" x14ac:dyDescent="0.25">
      <c r="A72" s="1"/>
    </row>
    <row r="73" spans="1:19" x14ac:dyDescent="0.25">
      <c r="A73" s="1"/>
    </row>
    <row r="74" spans="1:19" x14ac:dyDescent="0.25">
      <c r="A74" s="1"/>
    </row>
    <row r="75" spans="1:19" x14ac:dyDescent="0.25">
      <c r="A75" s="1"/>
    </row>
    <row r="76" spans="1:19" x14ac:dyDescent="0.25">
      <c r="A76" s="1">
        <v>2.15</v>
      </c>
      <c r="C76" s="2">
        <f>rigidezze!L9</f>
        <v>11.64</v>
      </c>
      <c r="E76" s="2">
        <f>C76</f>
        <v>11.64</v>
      </c>
      <c r="F76" s="1"/>
      <c r="G76" s="2">
        <f>C76</f>
        <v>11.64</v>
      </c>
      <c r="H76" s="1"/>
      <c r="I76" s="2">
        <f>C76</f>
        <v>11.64</v>
      </c>
      <c r="J76" s="1"/>
      <c r="K76" s="2">
        <f>C76</f>
        <v>11.64</v>
      </c>
    </row>
    <row r="78" spans="1:19" x14ac:dyDescent="0.25">
      <c r="L78" s="15" t="s">
        <v>30</v>
      </c>
    </row>
    <row r="79" spans="1:19" x14ac:dyDescent="0.25">
      <c r="A79" s="39" t="s">
        <v>157</v>
      </c>
      <c r="B79" s="39"/>
      <c r="C79" s="55">
        <f>C61+C66+C71+C76</f>
        <v>104.68</v>
      </c>
      <c r="D79" s="55"/>
      <c r="E79" s="55">
        <f>E61+E66+E71+E76</f>
        <v>52.03</v>
      </c>
      <c r="F79" s="55"/>
      <c r="G79" s="55">
        <f>G76+G71+G66+G61+G58+G53+G48</f>
        <v>170.8</v>
      </c>
      <c r="H79" s="55"/>
      <c r="I79" s="55">
        <f>I48+I53+I58+I66+I71+I76</f>
        <v>158.09000000000003</v>
      </c>
      <c r="J79" s="55"/>
      <c r="K79" s="55">
        <f>K48+K53+K58+K66+K71+K76</f>
        <v>158.09000000000003</v>
      </c>
      <c r="L79" s="58">
        <f>C79+E79+G79+I79+K79</f>
        <v>643.69000000000005</v>
      </c>
      <c r="M79" s="15" t="s">
        <v>165</v>
      </c>
      <c r="N79" s="15">
        <f>L80/L79</f>
        <v>14.820891497459959</v>
      </c>
      <c r="O79" s="15" t="s">
        <v>166</v>
      </c>
      <c r="P79" s="15">
        <v>15.12</v>
      </c>
      <c r="R79" t="s">
        <v>244</v>
      </c>
      <c r="S79">
        <f>P79-N79</f>
        <v>0.29910850254004018</v>
      </c>
    </row>
    <row r="80" spans="1:19" x14ac:dyDescent="0.25">
      <c r="A80" s="39" t="s">
        <v>170</v>
      </c>
      <c r="B80" s="39"/>
      <c r="C80" s="55">
        <f>C79*C46</f>
        <v>15.702</v>
      </c>
      <c r="D80" s="55"/>
      <c r="E80" s="55">
        <f>E79*E46</f>
        <v>303.07474999999999</v>
      </c>
      <c r="F80" s="55"/>
      <c r="G80" s="55">
        <f>G79*G46</f>
        <v>2203.3200000000002</v>
      </c>
      <c r="H80" s="55"/>
      <c r="I80" s="55">
        <f>I79*I46</f>
        <v>2934.4981980000007</v>
      </c>
      <c r="J80" s="55"/>
      <c r="K80" s="55">
        <f>K79*K46</f>
        <v>4083.4647000000004</v>
      </c>
      <c r="L80" s="58">
        <f>C80+E80+G80+I80+K80</f>
        <v>9540.0596480000022</v>
      </c>
    </row>
    <row r="81" spans="1:12" x14ac:dyDescent="0.25">
      <c r="A81" s="39" t="s">
        <v>171</v>
      </c>
      <c r="B81" s="39"/>
      <c r="C81" s="38">
        <f>C79*(C46^2)</f>
        <v>2.3553000000000002</v>
      </c>
      <c r="D81" s="38"/>
      <c r="E81" s="38">
        <f>E79*(E46^2)</f>
        <v>1765.41041875</v>
      </c>
      <c r="F81" s="38"/>
      <c r="G81" s="38">
        <f>G79*(G46^2)</f>
        <v>28422.828000000001</v>
      </c>
      <c r="H81" s="38"/>
      <c r="I81" s="38">
        <f>I79*(I46^2)</f>
        <v>54470.742450915619</v>
      </c>
      <c r="J81" s="38"/>
      <c r="K81" s="38">
        <f>K79*(K46^2)</f>
        <v>105475.893201</v>
      </c>
      <c r="L81" s="15">
        <f>C81+E81+G81+I81+K81</f>
        <v>190137.22937066562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zoomScale="95" zoomScaleNormal="95" workbookViewId="0">
      <selection activeCell="N78" sqref="N78:T79"/>
    </sheetView>
  </sheetViews>
  <sheetFormatPr defaultRowHeight="15" x14ac:dyDescent="0.25"/>
  <sheetData>
    <row r="1" spans="1:19" x14ac:dyDescent="0.25">
      <c r="A1" s="15" t="s">
        <v>167</v>
      </c>
      <c r="B1" s="15"/>
      <c r="C1" s="15"/>
    </row>
    <row r="4" spans="1:19" x14ac:dyDescent="0.25">
      <c r="M4" s="56" t="s">
        <v>168</v>
      </c>
      <c r="N4" s="56">
        <f>N38/M38</f>
        <v>12.309637518298331</v>
      </c>
      <c r="O4" s="56" t="s">
        <v>169</v>
      </c>
      <c r="P4" s="59">
        <v>11.9132</v>
      </c>
      <c r="Q4" s="1"/>
      <c r="R4" s="85" t="s">
        <v>199</v>
      </c>
      <c r="S4" s="86">
        <f>N4-P4</f>
        <v>0.39643751829833107</v>
      </c>
    </row>
    <row r="7" spans="1:19" x14ac:dyDescent="0.25">
      <c r="B7" t="s">
        <v>156</v>
      </c>
      <c r="C7">
        <v>0.15</v>
      </c>
      <c r="E7" s="53">
        <v>5.8250000000000002</v>
      </c>
      <c r="G7" s="1">
        <v>12.9</v>
      </c>
      <c r="I7" s="53">
        <v>18.562200000000001</v>
      </c>
      <c r="K7" s="1">
        <v>25.83</v>
      </c>
      <c r="M7" s="38" t="s">
        <v>157</v>
      </c>
      <c r="N7" s="38" t="s">
        <v>163</v>
      </c>
      <c r="O7" s="38" t="s">
        <v>164</v>
      </c>
    </row>
    <row r="8" spans="1:19" x14ac:dyDescent="0.25">
      <c r="A8" t="s">
        <v>155</v>
      </c>
      <c r="M8" s="38"/>
      <c r="N8" s="38"/>
      <c r="O8" s="38"/>
    </row>
    <row r="9" spans="1:19" x14ac:dyDescent="0.25">
      <c r="A9" s="1">
        <v>25.03</v>
      </c>
      <c r="G9" s="2">
        <f>C22</f>
        <v>38.86</v>
      </c>
      <c r="H9" s="1"/>
      <c r="I9" s="2">
        <f>E37</f>
        <v>44.53</v>
      </c>
      <c r="J9" s="1"/>
      <c r="K9" s="2">
        <f>C37</f>
        <v>38.86</v>
      </c>
      <c r="M9" s="38">
        <f>G9+I9+K9</f>
        <v>122.25</v>
      </c>
      <c r="N9" s="38">
        <f>M9*A9</f>
        <v>3059.9175</v>
      </c>
      <c r="O9" s="38">
        <f>M9*(A9^2)</f>
        <v>76589.735025000002</v>
      </c>
    </row>
    <row r="10" spans="1:19" x14ac:dyDescent="0.25">
      <c r="G10" s="1"/>
      <c r="H10" s="1"/>
      <c r="I10" s="1"/>
      <c r="J10" s="1"/>
      <c r="K10" s="1"/>
      <c r="M10" s="38"/>
      <c r="N10" s="38"/>
      <c r="O10" s="38"/>
    </row>
    <row r="11" spans="1:19" x14ac:dyDescent="0.25">
      <c r="G11" s="1"/>
      <c r="H11" s="1"/>
      <c r="I11" s="1"/>
      <c r="J11" s="1"/>
      <c r="K11" s="1"/>
      <c r="M11" s="38"/>
      <c r="N11" s="38"/>
      <c r="O11" s="38"/>
    </row>
    <row r="12" spans="1:19" x14ac:dyDescent="0.25">
      <c r="G12" s="1"/>
      <c r="H12" s="1"/>
      <c r="I12" s="1"/>
      <c r="J12" s="1"/>
      <c r="K12" s="1"/>
      <c r="M12" s="38"/>
      <c r="N12" s="38"/>
      <c r="O12" s="38"/>
    </row>
    <row r="13" spans="1:19" x14ac:dyDescent="0.25">
      <c r="G13" s="1"/>
      <c r="H13" s="1"/>
      <c r="I13" s="1"/>
      <c r="J13" s="1"/>
      <c r="K13" s="1"/>
      <c r="M13" s="38"/>
      <c r="N13" s="38"/>
      <c r="O13" s="38"/>
    </row>
    <row r="14" spans="1:19" x14ac:dyDescent="0.25">
      <c r="A14" s="54">
        <v>21.352599999999999</v>
      </c>
      <c r="G14" s="2">
        <v>6.32</v>
      </c>
      <c r="H14" s="1"/>
      <c r="I14" s="2">
        <v>7.64</v>
      </c>
      <c r="J14" s="1"/>
      <c r="K14" s="2">
        <v>6.32</v>
      </c>
      <c r="M14" s="38">
        <f>G14+I14+K14</f>
        <v>20.28</v>
      </c>
      <c r="N14" s="38">
        <f t="shared" ref="N14:N37" si="0">M14*A14</f>
        <v>433.03072800000001</v>
      </c>
      <c r="O14" s="38">
        <f t="shared" ref="O14:O37" si="1">M14*(A14^2)</f>
        <v>9246.3319226927997</v>
      </c>
    </row>
    <row r="15" spans="1:19" x14ac:dyDescent="0.25">
      <c r="G15" s="1"/>
      <c r="H15" s="1"/>
      <c r="I15" s="1"/>
      <c r="J15" s="1"/>
      <c r="K15" s="1"/>
      <c r="M15" s="38"/>
      <c r="N15" s="38"/>
      <c r="O15" s="38"/>
    </row>
    <row r="16" spans="1:19" x14ac:dyDescent="0.25">
      <c r="G16" s="1"/>
      <c r="H16" s="1"/>
      <c r="I16" s="1"/>
      <c r="J16" s="1"/>
      <c r="K16" s="1"/>
      <c r="M16" s="38"/>
      <c r="N16" s="38"/>
      <c r="O16" s="38"/>
    </row>
    <row r="17" spans="1:15" x14ac:dyDescent="0.25">
      <c r="G17" s="1"/>
      <c r="H17" s="1"/>
      <c r="I17" s="1"/>
      <c r="J17" s="1"/>
      <c r="K17" s="1"/>
      <c r="M17" s="38"/>
      <c r="N17" s="38"/>
      <c r="O17" s="38"/>
    </row>
    <row r="18" spans="1:15" x14ac:dyDescent="0.25">
      <c r="G18" s="1"/>
      <c r="H18" s="1"/>
      <c r="I18" s="1"/>
      <c r="J18" s="1"/>
      <c r="K18" s="1"/>
      <c r="M18" s="38"/>
      <c r="N18" s="38"/>
      <c r="O18" s="38"/>
    </row>
    <row r="19" spans="1:15" x14ac:dyDescent="0.25">
      <c r="A19" s="53">
        <v>16.060099999999998</v>
      </c>
      <c r="G19" s="2">
        <f>C22</f>
        <v>38.86</v>
      </c>
      <c r="H19" s="1"/>
      <c r="I19" s="2">
        <f>E22</f>
        <v>44.53</v>
      </c>
      <c r="J19" s="1"/>
      <c r="K19" s="2">
        <f>C37</f>
        <v>38.86</v>
      </c>
      <c r="M19" s="38">
        <f>G19+I19+K19</f>
        <v>122.25</v>
      </c>
      <c r="N19" s="38">
        <f t="shared" si="0"/>
        <v>1963.3472249999998</v>
      </c>
      <c r="O19" s="38">
        <f t="shared" si="1"/>
        <v>31531.552768222493</v>
      </c>
    </row>
    <row r="20" spans="1:15" x14ac:dyDescent="0.25">
      <c r="A20" s="16"/>
      <c r="M20" s="38"/>
      <c r="N20" s="38"/>
      <c r="O20" s="38"/>
    </row>
    <row r="21" spans="1:15" x14ac:dyDescent="0.25">
      <c r="A21" s="16"/>
      <c r="M21" s="38"/>
      <c r="N21" s="38"/>
      <c r="O21" s="38"/>
    </row>
    <row r="22" spans="1:15" x14ac:dyDescent="0.25">
      <c r="A22" s="53">
        <v>14.23</v>
      </c>
      <c r="C22" s="2">
        <f>C37</f>
        <v>38.86</v>
      </c>
      <c r="D22" s="1"/>
      <c r="E22" s="2">
        <f>E37</f>
        <v>44.53</v>
      </c>
      <c r="F22" s="1"/>
      <c r="G22" s="2">
        <f>C37</f>
        <v>38.86</v>
      </c>
      <c r="M22" s="38">
        <f>C22+E22+G22</f>
        <v>122.25</v>
      </c>
      <c r="N22" s="38">
        <f t="shared" si="0"/>
        <v>1739.6175000000001</v>
      </c>
      <c r="O22" s="38">
        <f t="shared" si="1"/>
        <v>24754.757025000003</v>
      </c>
    </row>
    <row r="23" spans="1:15" x14ac:dyDescent="0.25">
      <c r="A23" s="53"/>
      <c r="M23" s="38"/>
      <c r="N23" s="38"/>
      <c r="O23" s="38"/>
    </row>
    <row r="24" spans="1:15" x14ac:dyDescent="0.25">
      <c r="A24" s="53"/>
      <c r="M24" s="38"/>
      <c r="N24" s="38"/>
      <c r="O24" s="38"/>
    </row>
    <row r="25" spans="1:15" x14ac:dyDescent="0.25">
      <c r="A25" s="53"/>
      <c r="M25" s="38"/>
      <c r="N25" s="38"/>
      <c r="O25" s="38"/>
    </row>
    <row r="26" spans="1:15" x14ac:dyDescent="0.25">
      <c r="A26" s="53"/>
      <c r="M26" s="38"/>
      <c r="N26" s="38"/>
      <c r="O26" s="38"/>
    </row>
    <row r="27" spans="1:15" x14ac:dyDescent="0.25">
      <c r="A27" s="53">
        <v>10.428000000000001</v>
      </c>
      <c r="C27" s="2">
        <v>6.32</v>
      </c>
      <c r="D27" s="1"/>
      <c r="E27" s="2">
        <v>7.64</v>
      </c>
      <c r="F27" s="1"/>
      <c r="G27" s="2">
        <v>7.64</v>
      </c>
      <c r="H27" s="1"/>
      <c r="I27" s="2">
        <v>7.64</v>
      </c>
      <c r="J27" s="1"/>
      <c r="K27" s="2">
        <v>6.32</v>
      </c>
      <c r="M27" s="38">
        <f>C27+E27+G27+I27+K27</f>
        <v>35.56</v>
      </c>
      <c r="N27" s="38">
        <f t="shared" si="0"/>
        <v>370.81968000000006</v>
      </c>
      <c r="O27" s="38">
        <f t="shared" si="1"/>
        <v>3866.9076230400005</v>
      </c>
    </row>
    <row r="28" spans="1:15" x14ac:dyDescent="0.25">
      <c r="A28" s="53"/>
      <c r="M28" s="38"/>
      <c r="N28" s="38"/>
      <c r="O28" s="38"/>
    </row>
    <row r="29" spans="1:15" x14ac:dyDescent="0.25">
      <c r="A29" s="53"/>
      <c r="C29" s="1"/>
      <c r="M29" s="38"/>
      <c r="N29" s="38"/>
      <c r="O29" s="38"/>
    </row>
    <row r="30" spans="1:15" x14ac:dyDescent="0.25">
      <c r="A30" s="53"/>
      <c r="C30" s="1"/>
      <c r="M30" s="38"/>
      <c r="N30" s="38"/>
      <c r="O30" s="38"/>
    </row>
    <row r="31" spans="1:15" x14ac:dyDescent="0.25">
      <c r="A31" s="53"/>
      <c r="C31" s="1"/>
      <c r="M31" s="38"/>
      <c r="N31" s="38"/>
      <c r="O31" s="38"/>
    </row>
    <row r="32" spans="1:15" x14ac:dyDescent="0.25">
      <c r="A32" s="53">
        <v>6.18</v>
      </c>
      <c r="C32" s="2">
        <v>6.32</v>
      </c>
      <c r="E32" s="2">
        <v>7.64</v>
      </c>
      <c r="F32" s="1"/>
      <c r="G32" s="2">
        <v>7.64</v>
      </c>
      <c r="H32" s="1"/>
      <c r="I32" s="2">
        <v>7.64</v>
      </c>
      <c r="J32" s="1"/>
      <c r="K32" s="2">
        <v>6.32</v>
      </c>
      <c r="M32" s="38">
        <f>C32+E32+G32+I32+K32</f>
        <v>35.56</v>
      </c>
      <c r="N32" s="38">
        <f t="shared" si="0"/>
        <v>219.76080000000002</v>
      </c>
      <c r="O32" s="38">
        <f t="shared" si="1"/>
        <v>1358.121744</v>
      </c>
    </row>
    <row r="33" spans="1:15" x14ac:dyDescent="0.25">
      <c r="A33" s="1"/>
      <c r="M33" s="38"/>
      <c r="N33" s="38"/>
      <c r="O33" s="38"/>
    </row>
    <row r="34" spans="1:15" x14ac:dyDescent="0.25">
      <c r="A34" s="1"/>
      <c r="M34" s="38"/>
      <c r="N34" s="38"/>
      <c r="O34" s="38"/>
    </row>
    <row r="35" spans="1:15" x14ac:dyDescent="0.25">
      <c r="A35" s="1"/>
      <c r="M35" s="38"/>
      <c r="N35" s="38"/>
      <c r="O35" s="38"/>
    </row>
    <row r="36" spans="1:15" x14ac:dyDescent="0.25">
      <c r="A36" s="1"/>
      <c r="M36" s="38"/>
      <c r="N36" s="38"/>
      <c r="O36" s="38"/>
    </row>
    <row r="37" spans="1:15" x14ac:dyDescent="0.25">
      <c r="A37" s="1">
        <v>2.15</v>
      </c>
      <c r="C37" s="2">
        <f>rigidezze!D34</f>
        <v>38.86</v>
      </c>
      <c r="E37" s="2">
        <f>rigidezze!D33</f>
        <v>44.53</v>
      </c>
      <c r="F37" s="1"/>
      <c r="G37" s="2">
        <f>E37</f>
        <v>44.53</v>
      </c>
      <c r="H37" s="1"/>
      <c r="I37" s="2">
        <f>G37</f>
        <v>44.53</v>
      </c>
      <c r="J37" s="1"/>
      <c r="K37" s="2">
        <f>C37</f>
        <v>38.86</v>
      </c>
      <c r="M37" s="38">
        <f>C37+E37+G37+I37+K37</f>
        <v>211.31</v>
      </c>
      <c r="N37" s="38">
        <f t="shared" si="0"/>
        <v>454.31649999999996</v>
      </c>
      <c r="O37" s="38">
        <f t="shared" si="1"/>
        <v>976.78047499999991</v>
      </c>
    </row>
    <row r="38" spans="1:15" x14ac:dyDescent="0.25">
      <c r="L38" s="15" t="s">
        <v>30</v>
      </c>
      <c r="M38" s="15">
        <f>M9+M14+M19+M22+M27+M32+M37</f>
        <v>669.46</v>
      </c>
      <c r="N38" s="15">
        <f>N9+N14+N19+N22+N27+N32+N37</f>
        <v>8240.8099330000005</v>
      </c>
      <c r="O38" s="15">
        <f>O37+O32+O27+O22+O19+O14+O9</f>
        <v>148324.1865829553</v>
      </c>
    </row>
    <row r="42" spans="1:15" x14ac:dyDescent="0.25">
      <c r="A42" s="15" t="s">
        <v>183</v>
      </c>
      <c r="B42" s="15"/>
      <c r="C42" s="15"/>
    </row>
    <row r="46" spans="1:15" x14ac:dyDescent="0.25">
      <c r="B46" t="s">
        <v>156</v>
      </c>
      <c r="C46">
        <v>0.15</v>
      </c>
      <c r="E46" s="53">
        <v>5.8250000000000002</v>
      </c>
      <c r="G46" s="1">
        <v>12.9</v>
      </c>
      <c r="I46" s="53">
        <v>18.562200000000001</v>
      </c>
      <c r="K46" s="1">
        <v>25.83</v>
      </c>
    </row>
    <row r="47" spans="1:15" x14ac:dyDescent="0.25">
      <c r="A47" t="s">
        <v>155</v>
      </c>
    </row>
    <row r="48" spans="1:15" x14ac:dyDescent="0.25">
      <c r="A48" s="1">
        <v>25.03</v>
      </c>
      <c r="G48" s="2">
        <f>rigidezze!L36</f>
        <v>11.7</v>
      </c>
      <c r="H48" s="1"/>
      <c r="I48" s="2">
        <f>rigidezze!L36</f>
        <v>11.7</v>
      </c>
      <c r="J48" s="1"/>
      <c r="K48" s="2">
        <f>rigidezze!L36</f>
        <v>11.7</v>
      </c>
    </row>
    <row r="49" spans="1:11" x14ac:dyDescent="0.25">
      <c r="G49" s="1"/>
      <c r="H49" s="1"/>
      <c r="I49" s="1"/>
      <c r="J49" s="1"/>
      <c r="K49" s="1"/>
    </row>
    <row r="50" spans="1:11" x14ac:dyDescent="0.25">
      <c r="G50" s="1"/>
      <c r="H50" s="1"/>
      <c r="I50" s="1"/>
      <c r="J50" s="1"/>
      <c r="K50" s="1"/>
    </row>
    <row r="51" spans="1:11" x14ac:dyDescent="0.25">
      <c r="G51" s="1"/>
      <c r="H51" s="1"/>
      <c r="I51" s="1"/>
      <c r="J51" s="1"/>
      <c r="K51" s="1"/>
    </row>
    <row r="52" spans="1:11" x14ac:dyDescent="0.25">
      <c r="G52" s="1"/>
      <c r="H52" s="1"/>
      <c r="I52" s="1"/>
      <c r="J52" s="1"/>
      <c r="K52" s="1"/>
    </row>
    <row r="53" spans="1:11" x14ac:dyDescent="0.25">
      <c r="A53" s="54">
        <v>21.352599999999999</v>
      </c>
      <c r="G53" s="2">
        <f>rigidezze!L33</f>
        <v>51.04</v>
      </c>
      <c r="H53" s="1"/>
      <c r="I53" s="2">
        <f>rigidezze!L33</f>
        <v>51.04</v>
      </c>
      <c r="J53" s="1"/>
      <c r="K53" s="2">
        <f>rigidezze!L33</f>
        <v>51.04</v>
      </c>
    </row>
    <row r="54" spans="1:11" x14ac:dyDescent="0.25">
      <c r="G54" s="1"/>
      <c r="H54" s="1"/>
      <c r="I54" s="1"/>
      <c r="J54" s="1"/>
      <c r="K54" s="1"/>
    </row>
    <row r="55" spans="1:11" x14ac:dyDescent="0.25">
      <c r="G55" s="1"/>
      <c r="H55" s="1"/>
      <c r="I55" s="1"/>
      <c r="J55" s="1"/>
      <c r="K55" s="1"/>
    </row>
    <row r="56" spans="1:11" x14ac:dyDescent="0.25">
      <c r="G56" s="1"/>
      <c r="H56" s="1"/>
      <c r="I56" s="1"/>
      <c r="J56" s="1"/>
      <c r="K56" s="1"/>
    </row>
    <row r="57" spans="1:11" x14ac:dyDescent="0.25">
      <c r="G57" s="1"/>
      <c r="H57" s="1"/>
      <c r="I57" s="1"/>
      <c r="J57" s="1"/>
      <c r="K57" s="1"/>
    </row>
    <row r="58" spans="1:11" x14ac:dyDescent="0.25">
      <c r="A58" s="53">
        <v>16.060099999999998</v>
      </c>
      <c r="G58" s="2">
        <f>rigidezze!L35</f>
        <v>12.22</v>
      </c>
      <c r="H58" s="1"/>
      <c r="I58" s="2">
        <f>rigidezze!L35</f>
        <v>12.22</v>
      </c>
      <c r="J58" s="1"/>
      <c r="K58" s="2">
        <f>rigidezze!L35</f>
        <v>12.22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53">
        <v>14.23</v>
      </c>
      <c r="C61" s="2">
        <f>rigidezze!L36</f>
        <v>11.7</v>
      </c>
      <c r="D61" s="1"/>
      <c r="E61" s="2">
        <f>rigidezze!L38</f>
        <v>7.22</v>
      </c>
      <c r="F61" s="1"/>
      <c r="G61" s="2">
        <f>rigidezze!L35</f>
        <v>12.22</v>
      </c>
    </row>
    <row r="62" spans="1:11" x14ac:dyDescent="0.25">
      <c r="A62" s="53"/>
    </row>
    <row r="63" spans="1:11" x14ac:dyDescent="0.25">
      <c r="A63" s="53"/>
    </row>
    <row r="64" spans="1:11" x14ac:dyDescent="0.25">
      <c r="A64" s="53"/>
    </row>
    <row r="65" spans="1:20" x14ac:dyDescent="0.25">
      <c r="A65" s="53"/>
    </row>
    <row r="66" spans="1:20" x14ac:dyDescent="0.25">
      <c r="A66" s="53">
        <v>10.428000000000001</v>
      </c>
      <c r="C66" s="2">
        <f>rigidezze!L33</f>
        <v>51.04</v>
      </c>
      <c r="D66" s="1"/>
      <c r="E66" s="2">
        <f>rigidezze!L39</f>
        <v>28.17</v>
      </c>
      <c r="F66" s="1"/>
      <c r="G66" s="2">
        <f>rigidezze!L33</f>
        <v>51.04</v>
      </c>
      <c r="H66" s="1"/>
      <c r="I66" s="2">
        <f>rigidezze!L33</f>
        <v>51.04</v>
      </c>
      <c r="J66" s="1"/>
      <c r="K66" s="2">
        <f>rigidezze!L33</f>
        <v>51.04</v>
      </c>
    </row>
    <row r="67" spans="1:20" x14ac:dyDescent="0.25">
      <c r="A67" s="53"/>
    </row>
    <row r="68" spans="1:20" x14ac:dyDescent="0.25">
      <c r="A68" s="53"/>
      <c r="C68" s="1"/>
    </row>
    <row r="69" spans="1:20" x14ac:dyDescent="0.25">
      <c r="A69" s="53"/>
      <c r="C69" s="1"/>
    </row>
    <row r="70" spans="1:20" x14ac:dyDescent="0.25">
      <c r="A70" s="53"/>
      <c r="C70" s="1"/>
    </row>
    <row r="71" spans="1:20" x14ac:dyDescent="0.25">
      <c r="A71" s="53">
        <v>6.18</v>
      </c>
      <c r="C71" s="2">
        <f>rigidezze!L33</f>
        <v>51.04</v>
      </c>
      <c r="E71" s="2">
        <f>rigidezze!L34</f>
        <v>41.26</v>
      </c>
      <c r="F71" s="1"/>
      <c r="G71" s="2">
        <f>rigidezze!L33</f>
        <v>51.04</v>
      </c>
      <c r="H71" s="1"/>
      <c r="I71" s="2">
        <f>rigidezze!L33</f>
        <v>51.04</v>
      </c>
      <c r="J71" s="1"/>
      <c r="K71" s="2">
        <f>rigidezze!L33</f>
        <v>51.04</v>
      </c>
    </row>
    <row r="76" spans="1:20" x14ac:dyDescent="0.25">
      <c r="A76" s="1">
        <v>2.15</v>
      </c>
      <c r="C76" s="2">
        <f>rigidezze!L36</f>
        <v>11.7</v>
      </c>
      <c r="E76" s="2">
        <f>C76</f>
        <v>11.7</v>
      </c>
      <c r="F76" s="1"/>
      <c r="G76" s="2">
        <f>C76</f>
        <v>11.7</v>
      </c>
      <c r="H76" s="1"/>
      <c r="I76" s="2">
        <f>C76</f>
        <v>11.7</v>
      </c>
      <c r="J76" s="1"/>
      <c r="K76" s="2">
        <f>C76</f>
        <v>11.7</v>
      </c>
    </row>
    <row r="78" spans="1:20" x14ac:dyDescent="0.25">
      <c r="L78" s="15" t="s">
        <v>30</v>
      </c>
      <c r="N78" t="s">
        <v>165</v>
      </c>
      <c r="O78">
        <f>L80/L79</f>
        <v>14.52084337157787</v>
      </c>
      <c r="P78" t="s">
        <v>169</v>
      </c>
      <c r="Q78">
        <v>15.0975</v>
      </c>
      <c r="S78" s="85" t="s">
        <v>199</v>
      </c>
      <c r="T78">
        <f>Q78-O78</f>
        <v>0.57665662842213017</v>
      </c>
    </row>
    <row r="79" spans="1:20" x14ac:dyDescent="0.25">
      <c r="A79" s="39" t="s">
        <v>157</v>
      </c>
      <c r="B79" s="39"/>
      <c r="C79" s="39">
        <f>C61+C66+C71+C76</f>
        <v>125.48</v>
      </c>
      <c r="D79" s="39"/>
      <c r="E79" s="39">
        <f>E61+E66+E71+E76</f>
        <v>88.350000000000009</v>
      </c>
      <c r="F79" s="39"/>
      <c r="G79" s="39">
        <f>G76+G71+G66+G61+G58+G53+G48</f>
        <v>200.95999999999998</v>
      </c>
      <c r="H79" s="39"/>
      <c r="I79" s="39">
        <f>I76+I71+I66+I58+I53+I48</f>
        <v>188.73999999999998</v>
      </c>
      <c r="J79" s="39"/>
      <c r="K79" s="39">
        <f>K76+K71+K66+K58+K53+K48</f>
        <v>188.73999999999998</v>
      </c>
      <c r="L79" s="15">
        <f>C79+E79+G79+I79+K79</f>
        <v>792.27</v>
      </c>
    </row>
    <row r="80" spans="1:20" x14ac:dyDescent="0.25">
      <c r="A80" s="39" t="s">
        <v>170</v>
      </c>
      <c r="B80" s="39"/>
      <c r="C80" s="39">
        <f>C79*C46</f>
        <v>18.821999999999999</v>
      </c>
      <c r="D80" s="39"/>
      <c r="E80" s="39">
        <f t="shared" ref="E80:K80" si="2">E79*E46</f>
        <v>514.63875000000007</v>
      </c>
      <c r="F80" s="39"/>
      <c r="G80" s="39">
        <f t="shared" si="2"/>
        <v>2592.384</v>
      </c>
      <c r="H80" s="39"/>
      <c r="I80" s="39">
        <f t="shared" si="2"/>
        <v>3503.4296279999999</v>
      </c>
      <c r="J80" s="39"/>
      <c r="K80" s="39">
        <f t="shared" si="2"/>
        <v>4875.154199999999</v>
      </c>
      <c r="L80" s="15">
        <f>C80+E80+G80+I80+K80</f>
        <v>11504.428577999999</v>
      </c>
    </row>
    <row r="81" spans="1:12" x14ac:dyDescent="0.25">
      <c r="A81" s="39" t="s">
        <v>171</v>
      </c>
      <c r="B81" s="39"/>
      <c r="C81" s="39">
        <f>C79*(C46^2)</f>
        <v>2.8233000000000001</v>
      </c>
      <c r="D81" s="39"/>
      <c r="E81" s="39">
        <f t="shared" ref="E81:K81" si="3">E79*(E46^2)</f>
        <v>2997.77071875</v>
      </c>
      <c r="F81" s="39"/>
      <c r="G81" s="39">
        <f t="shared" si="3"/>
        <v>33441.753599999996</v>
      </c>
      <c r="H81" s="39"/>
      <c r="I81" s="39">
        <f t="shared" si="3"/>
        <v>65031.361440861605</v>
      </c>
      <c r="J81" s="39"/>
      <c r="K81" s="39">
        <f t="shared" si="3"/>
        <v>125925.23298599996</v>
      </c>
      <c r="L81" s="15">
        <f>C81+E81+G81+I81+K81</f>
        <v>227398.94204561156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A43" zoomScale="96" zoomScaleNormal="96" workbookViewId="0">
      <selection activeCell="Q11" sqref="Q11"/>
    </sheetView>
  </sheetViews>
  <sheetFormatPr defaultRowHeight="15" x14ac:dyDescent="0.25"/>
  <cols>
    <col min="17" max="17" width="9.7109375" customWidth="1"/>
  </cols>
  <sheetData>
    <row r="1" spans="1:19" x14ac:dyDescent="0.25">
      <c r="A1" s="15" t="s">
        <v>184</v>
      </c>
      <c r="B1" s="15"/>
      <c r="C1" s="15"/>
    </row>
    <row r="4" spans="1:19" x14ac:dyDescent="0.25">
      <c r="M4" s="15" t="s">
        <v>168</v>
      </c>
      <c r="N4" s="15">
        <f>N38/M38</f>
        <v>12.093137815325406</v>
      </c>
      <c r="O4" s="15" t="s">
        <v>169</v>
      </c>
      <c r="P4" s="15">
        <v>11.94</v>
      </c>
      <c r="R4" t="s">
        <v>245</v>
      </c>
      <c r="S4">
        <f>P4-N4</f>
        <v>-0.15313781532540638</v>
      </c>
    </row>
    <row r="7" spans="1:19" x14ac:dyDescent="0.25">
      <c r="B7" t="s">
        <v>156</v>
      </c>
      <c r="C7">
        <v>0.15</v>
      </c>
      <c r="E7" s="53">
        <v>5.8250000000000002</v>
      </c>
      <c r="G7" s="1">
        <v>12.9</v>
      </c>
      <c r="I7" s="53">
        <v>18.562200000000001</v>
      </c>
      <c r="K7" s="1">
        <v>25.83</v>
      </c>
      <c r="M7" s="38" t="s">
        <v>157</v>
      </c>
      <c r="N7" s="38" t="s">
        <v>163</v>
      </c>
      <c r="O7" s="38" t="s">
        <v>164</v>
      </c>
    </row>
    <row r="8" spans="1:19" x14ac:dyDescent="0.25">
      <c r="A8" t="s">
        <v>155</v>
      </c>
      <c r="M8" s="38"/>
      <c r="N8" s="38"/>
      <c r="O8" s="38"/>
    </row>
    <row r="9" spans="1:19" x14ac:dyDescent="0.25">
      <c r="A9" s="1">
        <v>25.03</v>
      </c>
      <c r="G9" s="2">
        <f>C22</f>
        <v>19.399999999999999</v>
      </c>
      <c r="H9" s="1"/>
      <c r="I9" s="2">
        <f>E37</f>
        <v>27.23</v>
      </c>
      <c r="J9" s="1"/>
      <c r="K9" s="2">
        <f>C22</f>
        <v>19.399999999999999</v>
      </c>
      <c r="M9" s="38">
        <f>G9+I9+K9</f>
        <v>66.03</v>
      </c>
      <c r="N9" s="38">
        <f>M9*A9</f>
        <v>1652.7309</v>
      </c>
      <c r="O9" s="38">
        <f>M9*(A9^2)</f>
        <v>41367.854426999998</v>
      </c>
    </row>
    <row r="10" spans="1:19" x14ac:dyDescent="0.25">
      <c r="G10" s="1"/>
      <c r="H10" s="1"/>
      <c r="I10" s="1"/>
      <c r="J10" s="1"/>
      <c r="K10" s="1"/>
      <c r="M10" s="38"/>
      <c r="N10" s="38"/>
      <c r="O10" s="38"/>
    </row>
    <row r="11" spans="1:19" x14ac:dyDescent="0.25">
      <c r="G11" s="1"/>
      <c r="H11" s="1"/>
      <c r="I11" s="1"/>
      <c r="J11" s="1"/>
      <c r="K11" s="1"/>
      <c r="M11" s="38"/>
      <c r="N11" s="38"/>
      <c r="O11" s="38"/>
    </row>
    <row r="12" spans="1:19" x14ac:dyDescent="0.25">
      <c r="G12" s="1"/>
      <c r="H12" s="1"/>
      <c r="I12" s="1"/>
      <c r="J12" s="1"/>
      <c r="K12" s="1"/>
      <c r="M12" s="38"/>
      <c r="N12" s="38"/>
      <c r="O12" s="38"/>
    </row>
    <row r="13" spans="1:19" x14ac:dyDescent="0.25">
      <c r="G13" s="1"/>
      <c r="H13" s="1"/>
      <c r="I13" s="1"/>
      <c r="J13" s="1"/>
      <c r="K13" s="1"/>
      <c r="M13" s="38"/>
      <c r="N13" s="38"/>
      <c r="O13" s="38"/>
    </row>
    <row r="14" spans="1:19" x14ac:dyDescent="0.25">
      <c r="A14" s="54">
        <v>21.352599999999999</v>
      </c>
      <c r="G14" s="2">
        <v>3.77</v>
      </c>
      <c r="H14" s="1"/>
      <c r="I14" s="2">
        <v>5.51</v>
      </c>
      <c r="J14" s="1"/>
      <c r="K14" s="2">
        <v>3.77</v>
      </c>
      <c r="M14" s="38">
        <f>G14+I14+K14</f>
        <v>13.049999999999999</v>
      </c>
      <c r="N14" s="38">
        <f t="shared" ref="N14:N37" si="0">M14*A14</f>
        <v>278.65142999999995</v>
      </c>
      <c r="O14" s="38">
        <f t="shared" ref="O14:O37" si="1">M14*(A14^2)</f>
        <v>5949.9325242179984</v>
      </c>
    </row>
    <row r="15" spans="1:19" x14ac:dyDescent="0.25">
      <c r="G15" s="1"/>
      <c r="H15" s="1"/>
      <c r="I15" s="1"/>
      <c r="J15" s="1"/>
      <c r="K15" s="1"/>
      <c r="M15" s="38"/>
      <c r="N15" s="38"/>
      <c r="O15" s="38"/>
    </row>
    <row r="16" spans="1:19" x14ac:dyDescent="0.25">
      <c r="G16" s="1"/>
      <c r="H16" s="1"/>
      <c r="I16" s="1"/>
      <c r="J16" s="1"/>
      <c r="K16" s="1"/>
      <c r="M16" s="38"/>
      <c r="N16" s="38"/>
      <c r="O16" s="38"/>
    </row>
    <row r="17" spans="1:15" x14ac:dyDescent="0.25">
      <c r="G17" s="1"/>
      <c r="H17" s="1"/>
      <c r="I17" s="1"/>
      <c r="J17" s="1"/>
      <c r="K17" s="1"/>
      <c r="M17" s="38"/>
      <c r="N17" s="38"/>
      <c r="O17" s="38"/>
    </row>
    <row r="18" spans="1:15" x14ac:dyDescent="0.25">
      <c r="G18" s="1"/>
      <c r="H18" s="1"/>
      <c r="I18" s="1"/>
      <c r="J18" s="1"/>
      <c r="K18" s="1"/>
      <c r="M18" s="38"/>
      <c r="N18" s="38"/>
      <c r="O18" s="38"/>
    </row>
    <row r="19" spans="1:15" x14ac:dyDescent="0.25">
      <c r="A19" s="53">
        <v>16.060099999999998</v>
      </c>
      <c r="G19" s="2">
        <f>C37</f>
        <v>19.399999999999999</v>
      </c>
      <c r="H19" s="1"/>
      <c r="I19" s="2">
        <f>E37</f>
        <v>27.23</v>
      </c>
      <c r="J19" s="1"/>
      <c r="K19" s="2">
        <f>C37</f>
        <v>19.399999999999999</v>
      </c>
      <c r="M19" s="38">
        <f>G19+I19+K19</f>
        <v>66.03</v>
      </c>
      <c r="N19" s="38">
        <f t="shared" si="0"/>
        <v>1060.4484029999999</v>
      </c>
      <c r="O19" s="38">
        <f t="shared" si="1"/>
        <v>17030.907397020295</v>
      </c>
    </row>
    <row r="20" spans="1:15" x14ac:dyDescent="0.25">
      <c r="A20" s="16"/>
      <c r="M20" s="38"/>
      <c r="N20" s="38"/>
      <c r="O20" s="38"/>
    </row>
    <row r="21" spans="1:15" x14ac:dyDescent="0.25">
      <c r="A21" s="16"/>
      <c r="M21" s="38"/>
      <c r="N21" s="38"/>
      <c r="O21" s="38"/>
    </row>
    <row r="22" spans="1:15" x14ac:dyDescent="0.25">
      <c r="A22" s="53">
        <v>14.23</v>
      </c>
      <c r="C22" s="2">
        <f>C37</f>
        <v>19.399999999999999</v>
      </c>
      <c r="D22" s="1"/>
      <c r="E22" s="2">
        <f>E37</f>
        <v>27.23</v>
      </c>
      <c r="F22" s="1"/>
      <c r="G22" s="2">
        <f>C37</f>
        <v>19.399999999999999</v>
      </c>
      <c r="M22" s="38">
        <f>C22+E22+G22</f>
        <v>66.03</v>
      </c>
      <c r="N22" s="38">
        <f t="shared" si="0"/>
        <v>939.6069</v>
      </c>
      <c r="O22" s="38">
        <f t="shared" si="1"/>
        <v>13370.606187000001</v>
      </c>
    </row>
    <row r="23" spans="1:15" x14ac:dyDescent="0.25">
      <c r="A23" s="53"/>
      <c r="M23" s="38"/>
      <c r="N23" s="38"/>
      <c r="O23" s="38"/>
    </row>
    <row r="24" spans="1:15" x14ac:dyDescent="0.25">
      <c r="A24" s="53"/>
      <c r="M24" s="38"/>
      <c r="N24" s="38"/>
      <c r="O24" s="38"/>
    </row>
    <row r="25" spans="1:15" x14ac:dyDescent="0.25">
      <c r="A25" s="53"/>
      <c r="M25" s="38"/>
      <c r="N25" s="38"/>
      <c r="O25" s="38"/>
    </row>
    <row r="26" spans="1:15" x14ac:dyDescent="0.25">
      <c r="A26" s="53"/>
      <c r="M26" s="38"/>
      <c r="N26" s="38"/>
      <c r="O26" s="38"/>
    </row>
    <row r="27" spans="1:15" x14ac:dyDescent="0.25">
      <c r="A27" s="53">
        <v>10.428000000000001</v>
      </c>
      <c r="C27" s="2">
        <v>3.77</v>
      </c>
      <c r="D27" s="1"/>
      <c r="E27" s="2">
        <v>5.51</v>
      </c>
      <c r="F27" s="1"/>
      <c r="G27" s="2">
        <v>5.51</v>
      </c>
      <c r="H27" s="1"/>
      <c r="I27" s="2">
        <v>5.51</v>
      </c>
      <c r="J27" s="1"/>
      <c r="K27" s="2">
        <v>3.77</v>
      </c>
      <c r="M27" s="38">
        <f>C27+E27+G27+I27+K27</f>
        <v>24.069999999999997</v>
      </c>
      <c r="N27" s="38">
        <f t="shared" si="0"/>
        <v>251.00196</v>
      </c>
      <c r="O27" s="38">
        <f t="shared" si="1"/>
        <v>2617.4484388800001</v>
      </c>
    </row>
    <row r="28" spans="1:15" x14ac:dyDescent="0.25">
      <c r="A28" s="53"/>
      <c r="M28" s="38"/>
      <c r="N28" s="38"/>
      <c r="O28" s="38"/>
    </row>
    <row r="29" spans="1:15" x14ac:dyDescent="0.25">
      <c r="A29" s="53"/>
      <c r="C29" s="1"/>
      <c r="M29" s="38"/>
      <c r="N29" s="38"/>
      <c r="O29" s="38"/>
    </row>
    <row r="30" spans="1:15" x14ac:dyDescent="0.25">
      <c r="A30" s="53"/>
      <c r="C30" s="1"/>
      <c r="M30" s="38"/>
      <c r="N30" s="38"/>
      <c r="O30" s="38"/>
    </row>
    <row r="31" spans="1:15" x14ac:dyDescent="0.25">
      <c r="A31" s="53"/>
      <c r="C31" s="1"/>
      <c r="M31" s="38"/>
      <c r="N31" s="38"/>
      <c r="O31" s="38"/>
    </row>
    <row r="32" spans="1:15" x14ac:dyDescent="0.25">
      <c r="A32" s="53">
        <v>6.18</v>
      </c>
      <c r="C32" s="2">
        <v>3.77</v>
      </c>
      <c r="E32" s="2">
        <v>5.51</v>
      </c>
      <c r="F32" s="1"/>
      <c r="G32" s="2">
        <v>5.51</v>
      </c>
      <c r="H32" s="1"/>
      <c r="I32" s="2">
        <v>5.51</v>
      </c>
      <c r="J32" s="1"/>
      <c r="K32" s="2">
        <v>3.37</v>
      </c>
      <c r="M32" s="38">
        <f>C32+E32+G32+I32+K32</f>
        <v>23.669999999999998</v>
      </c>
      <c r="N32" s="38">
        <f t="shared" si="0"/>
        <v>146.28059999999999</v>
      </c>
      <c r="O32" s="38">
        <f t="shared" si="1"/>
        <v>904.01410799999996</v>
      </c>
    </row>
    <row r="33" spans="1:15" x14ac:dyDescent="0.25">
      <c r="A33" s="1"/>
      <c r="M33" s="38"/>
      <c r="N33" s="38"/>
      <c r="O33" s="38"/>
    </row>
    <row r="34" spans="1:15" x14ac:dyDescent="0.25">
      <c r="A34" s="1"/>
      <c r="M34" s="38"/>
      <c r="N34" s="38"/>
      <c r="O34" s="38"/>
    </row>
    <row r="35" spans="1:15" x14ac:dyDescent="0.25">
      <c r="A35" s="1"/>
      <c r="M35" s="38"/>
      <c r="N35" s="38"/>
      <c r="O35" s="38"/>
    </row>
    <row r="36" spans="1:15" x14ac:dyDescent="0.25">
      <c r="A36" s="1"/>
      <c r="M36" s="38"/>
      <c r="N36" s="38"/>
      <c r="O36" s="38"/>
    </row>
    <row r="37" spans="1:15" x14ac:dyDescent="0.25">
      <c r="A37" s="1">
        <v>2.15</v>
      </c>
      <c r="C37" s="2">
        <f>rigidezze!D21</f>
        <v>19.399999999999999</v>
      </c>
      <c r="E37" s="2">
        <f>rigidezze!D20</f>
        <v>27.23</v>
      </c>
      <c r="F37" s="1"/>
      <c r="G37" s="2">
        <f>E37</f>
        <v>27.23</v>
      </c>
      <c r="H37" s="1"/>
      <c r="I37" s="2">
        <f>G37</f>
        <v>27.23</v>
      </c>
      <c r="J37" s="1"/>
      <c r="K37" s="2">
        <f>C37</f>
        <v>19.399999999999999</v>
      </c>
      <c r="M37" s="38">
        <f>C37+E37+G37+I37+K37</f>
        <v>120.49000000000001</v>
      </c>
      <c r="N37" s="38">
        <f t="shared" si="0"/>
        <v>259.05349999999999</v>
      </c>
      <c r="O37" s="38">
        <f t="shared" si="1"/>
        <v>556.96502499999997</v>
      </c>
    </row>
    <row r="38" spans="1:15" x14ac:dyDescent="0.25">
      <c r="L38" s="15" t="s">
        <v>30</v>
      </c>
      <c r="M38" s="15">
        <f>SUM(M9:M37)</f>
        <v>379.37</v>
      </c>
      <c r="N38" s="15">
        <f>N37+N32+N27+N22+N19+N14+N9</f>
        <v>4587.7736929999992</v>
      </c>
      <c r="O38" s="15">
        <f>O37+O32+O27+O22+O19+O14+O9</f>
        <v>81797.728107118295</v>
      </c>
    </row>
    <row r="42" spans="1:15" x14ac:dyDescent="0.25">
      <c r="A42" s="15" t="s">
        <v>185</v>
      </c>
      <c r="B42" s="15"/>
      <c r="C42" s="15"/>
    </row>
    <row r="46" spans="1:15" x14ac:dyDescent="0.25">
      <c r="B46" t="s">
        <v>156</v>
      </c>
      <c r="C46">
        <v>0.15</v>
      </c>
      <c r="E46" s="53">
        <v>5.8250000000000002</v>
      </c>
      <c r="G46" s="1">
        <v>12.9</v>
      </c>
      <c r="I46" s="53">
        <v>18.562200000000001</v>
      </c>
      <c r="K46" s="1">
        <v>25.83</v>
      </c>
    </row>
    <row r="47" spans="1:15" x14ac:dyDescent="0.25">
      <c r="A47" t="s">
        <v>155</v>
      </c>
    </row>
    <row r="48" spans="1:15" x14ac:dyDescent="0.25">
      <c r="A48" s="1">
        <v>25.03</v>
      </c>
      <c r="G48" s="2">
        <f>rigidezze!L23</f>
        <v>10.72</v>
      </c>
      <c r="H48" s="1"/>
      <c r="I48" s="2">
        <f>G48</f>
        <v>10.72</v>
      </c>
      <c r="J48" s="1"/>
      <c r="K48" s="2">
        <f>I48</f>
        <v>10.72</v>
      </c>
    </row>
    <row r="49" spans="1:11" x14ac:dyDescent="0.25">
      <c r="G49" s="1"/>
      <c r="H49" s="1"/>
      <c r="I49" s="1"/>
      <c r="J49" s="1"/>
      <c r="K49" s="1"/>
    </row>
    <row r="50" spans="1:11" x14ac:dyDescent="0.25">
      <c r="G50" s="1"/>
      <c r="H50" s="1"/>
      <c r="I50" s="1"/>
      <c r="J50" s="1"/>
      <c r="K50" s="1"/>
    </row>
    <row r="51" spans="1:11" x14ac:dyDescent="0.25">
      <c r="G51" s="1"/>
      <c r="H51" s="1"/>
      <c r="I51" s="1"/>
      <c r="J51" s="1"/>
      <c r="K51" s="1"/>
    </row>
    <row r="52" spans="1:11" x14ac:dyDescent="0.25">
      <c r="G52" s="1"/>
      <c r="H52" s="1"/>
      <c r="I52" s="1"/>
      <c r="J52" s="1"/>
      <c r="K52" s="1"/>
    </row>
    <row r="53" spans="1:11" x14ac:dyDescent="0.25">
      <c r="A53" s="54">
        <v>21.352599999999999</v>
      </c>
      <c r="G53" s="2">
        <f>rigidezze!L20</f>
        <v>33.71</v>
      </c>
      <c r="H53" s="1"/>
      <c r="I53" s="2">
        <f>G53</f>
        <v>33.71</v>
      </c>
      <c r="J53" s="1"/>
      <c r="K53" s="2">
        <f>G53</f>
        <v>33.71</v>
      </c>
    </row>
    <row r="54" spans="1:11" x14ac:dyDescent="0.25">
      <c r="G54" s="1"/>
      <c r="H54" s="1"/>
      <c r="I54" s="1"/>
      <c r="J54" s="1"/>
      <c r="K54" s="1"/>
    </row>
    <row r="55" spans="1:11" x14ac:dyDescent="0.25">
      <c r="G55" s="1"/>
      <c r="H55" s="1"/>
      <c r="I55" s="1"/>
      <c r="J55" s="1"/>
      <c r="K55" s="1"/>
    </row>
    <row r="56" spans="1:11" x14ac:dyDescent="0.25">
      <c r="G56" s="1"/>
      <c r="H56" s="1"/>
      <c r="I56" s="1"/>
      <c r="J56" s="1"/>
      <c r="K56" s="1"/>
    </row>
    <row r="57" spans="1:11" x14ac:dyDescent="0.25">
      <c r="G57" s="1"/>
      <c r="H57" s="1"/>
      <c r="I57" s="1"/>
      <c r="J57" s="1"/>
      <c r="K57" s="1"/>
    </row>
    <row r="58" spans="1:11" x14ac:dyDescent="0.25">
      <c r="A58" s="53">
        <v>16.060099999999998</v>
      </c>
      <c r="G58" s="2">
        <f>G61</f>
        <v>11.51</v>
      </c>
      <c r="H58" s="1"/>
      <c r="I58" s="2">
        <f>G58</f>
        <v>11.51</v>
      </c>
      <c r="J58" s="1"/>
      <c r="K58" s="2">
        <f>I58</f>
        <v>11.51</v>
      </c>
    </row>
    <row r="59" spans="1:11" x14ac:dyDescent="0.25">
      <c r="A59" s="16"/>
    </row>
    <row r="60" spans="1:11" x14ac:dyDescent="0.25">
      <c r="A60" s="16"/>
    </row>
    <row r="61" spans="1:11" x14ac:dyDescent="0.25">
      <c r="A61" s="53">
        <v>14.23</v>
      </c>
      <c r="C61" s="2">
        <f>rigidezze!L23</f>
        <v>10.72</v>
      </c>
      <c r="D61" s="1"/>
      <c r="E61" s="2">
        <f>rigidezze!L25</f>
        <v>4.95</v>
      </c>
      <c r="F61" s="1"/>
      <c r="G61" s="2">
        <f>rigidezze!L22</f>
        <v>11.51</v>
      </c>
    </row>
    <row r="62" spans="1:11" x14ac:dyDescent="0.25">
      <c r="A62" s="53"/>
    </row>
    <row r="63" spans="1:11" x14ac:dyDescent="0.25">
      <c r="A63" s="53"/>
    </row>
    <row r="64" spans="1:11" x14ac:dyDescent="0.25">
      <c r="A64" s="53"/>
    </row>
    <row r="65" spans="1:20" x14ac:dyDescent="0.25">
      <c r="A65" s="53"/>
    </row>
    <row r="66" spans="1:20" x14ac:dyDescent="0.25">
      <c r="A66" s="53">
        <v>10.428000000000001</v>
      </c>
      <c r="C66" s="2">
        <f>C71</f>
        <v>33.71</v>
      </c>
      <c r="D66" s="1"/>
      <c r="E66" s="2">
        <f>rigidezze!L26</f>
        <v>11.62</v>
      </c>
      <c r="F66" s="1"/>
      <c r="G66" s="2">
        <f>C66</f>
        <v>33.71</v>
      </c>
      <c r="H66" s="1"/>
      <c r="I66" s="2">
        <f>G66</f>
        <v>33.71</v>
      </c>
      <c r="J66" s="1"/>
      <c r="K66" s="2">
        <f>I66</f>
        <v>33.71</v>
      </c>
    </row>
    <row r="67" spans="1:20" x14ac:dyDescent="0.25">
      <c r="A67" s="53"/>
    </row>
    <row r="68" spans="1:20" x14ac:dyDescent="0.25">
      <c r="A68" s="53"/>
      <c r="C68" s="1"/>
    </row>
    <row r="69" spans="1:20" x14ac:dyDescent="0.25">
      <c r="A69" s="53"/>
      <c r="C69" s="1"/>
    </row>
    <row r="70" spans="1:20" x14ac:dyDescent="0.25">
      <c r="A70" s="53"/>
      <c r="C70" s="1"/>
    </row>
    <row r="71" spans="1:20" x14ac:dyDescent="0.25">
      <c r="A71" s="53">
        <v>6.18</v>
      </c>
      <c r="C71" s="2">
        <f>rigidezze!L20</f>
        <v>33.71</v>
      </c>
      <c r="E71" s="2">
        <f>rigidezze!L21</f>
        <v>23.93</v>
      </c>
      <c r="F71" s="1"/>
      <c r="G71" s="2">
        <f>rigidezze!L20</f>
        <v>33.71</v>
      </c>
      <c r="H71" s="1"/>
      <c r="I71" s="2">
        <f>G71</f>
        <v>33.71</v>
      </c>
      <c r="J71" s="1"/>
      <c r="K71" s="2">
        <f>I71</f>
        <v>33.71</v>
      </c>
    </row>
    <row r="76" spans="1:20" x14ac:dyDescent="0.25">
      <c r="A76" s="1">
        <v>2.15</v>
      </c>
      <c r="C76" s="2">
        <f>rigidezze!L23</f>
        <v>10.72</v>
      </c>
      <c r="E76" s="2">
        <f>C76</f>
        <v>10.72</v>
      </c>
      <c r="F76" s="1"/>
      <c r="G76" s="2">
        <f>E76</f>
        <v>10.72</v>
      </c>
      <c r="H76" s="1"/>
      <c r="I76" s="2">
        <f>G76</f>
        <v>10.72</v>
      </c>
      <c r="J76" s="1"/>
      <c r="K76" s="2">
        <f>I76</f>
        <v>10.72</v>
      </c>
    </row>
    <row r="78" spans="1:20" x14ac:dyDescent="0.25">
      <c r="L78" s="15" t="s">
        <v>30</v>
      </c>
    </row>
    <row r="79" spans="1:20" x14ac:dyDescent="0.25">
      <c r="A79" s="39" t="s">
        <v>157</v>
      </c>
      <c r="B79" s="39"/>
      <c r="C79" s="39">
        <f>SUM(C61:C76)</f>
        <v>88.86</v>
      </c>
      <c r="D79" s="39"/>
      <c r="E79" s="39">
        <f>SUM(E61:E76)</f>
        <v>51.22</v>
      </c>
      <c r="F79" s="39"/>
      <c r="G79" s="39">
        <f>SUM(G48:G76)</f>
        <v>145.59</v>
      </c>
      <c r="H79" s="39"/>
      <c r="I79" s="39">
        <f>SUM(I48:I76)</f>
        <v>134.08000000000001</v>
      </c>
      <c r="J79" s="39"/>
      <c r="K79" s="39">
        <f>SUM(K48:K76)</f>
        <v>134.08000000000001</v>
      </c>
      <c r="L79" s="15">
        <f>SUM(C79:K79)</f>
        <v>553.83000000000004</v>
      </c>
      <c r="N79" t="s">
        <v>165</v>
      </c>
      <c r="O79">
        <f>L80/L79</f>
        <v>14.701086391130852</v>
      </c>
      <c r="P79" t="s">
        <v>166</v>
      </c>
      <c r="Q79" s="87">
        <v>15.061</v>
      </c>
      <c r="S79" t="s">
        <v>244</v>
      </c>
      <c r="T79" s="87">
        <f>Q79-O79</f>
        <v>0.35991360886914769</v>
      </c>
    </row>
    <row r="80" spans="1:20" x14ac:dyDescent="0.25">
      <c r="A80" s="39" t="s">
        <v>170</v>
      </c>
      <c r="B80" s="39"/>
      <c r="C80" s="39">
        <f>C79*C46</f>
        <v>13.328999999999999</v>
      </c>
      <c r="D80" s="39"/>
      <c r="E80" s="39">
        <f t="shared" ref="E80:K80" si="2">E79*E46</f>
        <v>298.35649999999998</v>
      </c>
      <c r="F80" s="39"/>
      <c r="G80" s="39">
        <f t="shared" si="2"/>
        <v>1878.1110000000001</v>
      </c>
      <c r="H80" s="39"/>
      <c r="I80" s="39">
        <f t="shared" si="2"/>
        <v>2488.8197760000003</v>
      </c>
      <c r="J80" s="39"/>
      <c r="K80" s="39">
        <f t="shared" si="2"/>
        <v>3463.2864</v>
      </c>
      <c r="L80" s="15">
        <f>SUM(C80:K80)</f>
        <v>8141.9026760000006</v>
      </c>
    </row>
    <row r="81" spans="1:12" x14ac:dyDescent="0.25">
      <c r="A81" s="39" t="s">
        <v>171</v>
      </c>
      <c r="B81" s="39"/>
      <c r="C81" s="39">
        <f>C79*(C46^2)</f>
        <v>1.99935</v>
      </c>
      <c r="D81" s="39"/>
      <c r="E81" s="39">
        <f t="shared" ref="E81:K81" si="3">E79*(E46^2)</f>
        <v>1737.9266124999999</v>
      </c>
      <c r="F81" s="39"/>
      <c r="G81" s="39">
        <f t="shared" si="3"/>
        <v>24227.6319</v>
      </c>
      <c r="H81" s="39"/>
      <c r="I81" s="39">
        <f t="shared" si="3"/>
        <v>46197.970446067215</v>
      </c>
      <c r="J81" s="39"/>
      <c r="K81" s="39">
        <f t="shared" si="3"/>
        <v>89456.687711999984</v>
      </c>
      <c r="L81" s="15">
        <f>SUM(C81:K81)</f>
        <v>161622.2160205672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9"/>
  <sheetViews>
    <sheetView zoomScale="98" zoomScaleNormal="98" workbookViewId="0">
      <selection activeCell="I11" sqref="I11:I12"/>
    </sheetView>
  </sheetViews>
  <sheetFormatPr defaultRowHeight="15" x14ac:dyDescent="0.25"/>
  <cols>
    <col min="5" max="5" width="11.7109375" customWidth="1"/>
  </cols>
  <sheetData>
    <row r="3" spans="2:9" x14ac:dyDescent="0.25">
      <c r="B3" s="9" t="s">
        <v>141</v>
      </c>
      <c r="C3" s="9" t="s">
        <v>175</v>
      </c>
      <c r="D3" s="9" t="s">
        <v>176</v>
      </c>
      <c r="E3" s="9" t="s">
        <v>173</v>
      </c>
      <c r="F3" s="9" t="s">
        <v>160</v>
      </c>
      <c r="G3" s="9" t="s">
        <v>174</v>
      </c>
      <c r="H3" s="9" t="s">
        <v>161</v>
      </c>
      <c r="I3" s="9" t="s">
        <v>359</v>
      </c>
    </row>
    <row r="4" spans="2:9" x14ac:dyDescent="0.25">
      <c r="B4" s="8" t="s">
        <v>172</v>
      </c>
      <c r="C4" s="9">
        <f>rigidezze!B46</f>
        <v>379.77</v>
      </c>
      <c r="D4" s="8">
        <f>rigidezze!C46</f>
        <v>553.83000000000004</v>
      </c>
      <c r="E4" s="21">
        <f>'bilanci rigi IV impalcato'!O79</f>
        <v>14.701086391130852</v>
      </c>
      <c r="F4" s="61">
        <f>'bilanci rigi IV impalcato'!N4</f>
        <v>12.093137815325406</v>
      </c>
      <c r="G4" s="21">
        <f>'bilanci rigi IV impalcato'!Q79</f>
        <v>15.061</v>
      </c>
      <c r="H4" s="109">
        <f>'bilanci rigi IV impalcato'!$P$4</f>
        <v>11.94</v>
      </c>
      <c r="I4" s="9">
        <v>9.9629999999999992</v>
      </c>
    </row>
    <row r="5" spans="2:9" x14ac:dyDescent="0.25">
      <c r="B5" s="8">
        <v>5</v>
      </c>
      <c r="C5" s="9">
        <f>rigidezze!B47</f>
        <v>400.92</v>
      </c>
      <c r="D5" s="8">
        <f>rigidezze!C47</f>
        <v>643.69000000000005</v>
      </c>
      <c r="E5" s="21">
        <f>'bilanc.rigidezze I'!$N$79</f>
        <v>14.820891497459959</v>
      </c>
      <c r="F5" s="61">
        <f>'bilanc.rigidezze I'!$N$4</f>
        <v>12.049754798962388</v>
      </c>
      <c r="G5" s="21">
        <f>'bilanc.rigidezze I'!$P$79</f>
        <v>15.12</v>
      </c>
      <c r="H5" s="8">
        <f>'bilanc.rigidezze I'!$P$4</f>
        <v>11.99</v>
      </c>
      <c r="I5" s="21">
        <v>10.1759</v>
      </c>
    </row>
    <row r="6" spans="2:9" x14ac:dyDescent="0.25">
      <c r="B6" s="8">
        <v>4</v>
      </c>
      <c r="C6" s="9">
        <f>rigidezze!B48</f>
        <v>400.92</v>
      </c>
      <c r="D6" s="8">
        <f>rigidezze!C48</f>
        <v>643.69000000000005</v>
      </c>
      <c r="E6" s="21">
        <f>'bilanc.rigidezze I'!$N$79</f>
        <v>14.820891497459959</v>
      </c>
      <c r="F6" s="61">
        <f>'bilanc.rigidezze I'!$N$4</f>
        <v>12.049754798962388</v>
      </c>
      <c r="G6" s="21">
        <f>'bilanc.rigidezze I'!$P$79</f>
        <v>15.12</v>
      </c>
      <c r="H6" s="8">
        <f>'bilanc.rigidezze I'!$P$4</f>
        <v>11.99</v>
      </c>
      <c r="I6" s="21">
        <f>$I$5</f>
        <v>10.1759</v>
      </c>
    </row>
    <row r="7" spans="2:9" x14ac:dyDescent="0.25">
      <c r="B7" s="8">
        <v>3</v>
      </c>
      <c r="C7" s="9">
        <f>rigidezze!B49</f>
        <v>400.92</v>
      </c>
      <c r="D7" s="8">
        <f>rigidezze!C49</f>
        <v>643.69000000000005</v>
      </c>
      <c r="E7" s="21">
        <f>'bilanc.rigidezze I'!$N$79</f>
        <v>14.820891497459959</v>
      </c>
      <c r="F7" s="61">
        <f>'bilanc.rigidezze I'!$N$4</f>
        <v>12.049754798962388</v>
      </c>
      <c r="G7" s="21">
        <f>'bilanc.rigidezze I'!$P$79</f>
        <v>15.12</v>
      </c>
      <c r="H7" s="8">
        <f>'bilanc.rigidezze I'!$P$4</f>
        <v>11.99</v>
      </c>
      <c r="I7" s="21">
        <f t="shared" ref="I7:I8" si="0">$I$5</f>
        <v>10.1759</v>
      </c>
    </row>
    <row r="8" spans="2:9" x14ac:dyDescent="0.25">
      <c r="B8" s="8">
        <v>2</v>
      </c>
      <c r="C8" s="9">
        <f>rigidezze!B50</f>
        <v>400.92</v>
      </c>
      <c r="D8" s="8">
        <f>rigidezze!C50</f>
        <v>643.69000000000005</v>
      </c>
      <c r="E8" s="21">
        <f>'bilanc.rigidezze I'!$N$79</f>
        <v>14.820891497459959</v>
      </c>
      <c r="F8" s="61">
        <f>'bilanc.rigidezze I'!$N$4</f>
        <v>12.049754798962388</v>
      </c>
      <c r="G8" s="21">
        <f>'bilanc.rigidezze I'!$P$79</f>
        <v>15.12</v>
      </c>
      <c r="H8" s="8">
        <f>'bilanc.rigidezze I'!$P$4</f>
        <v>11.99</v>
      </c>
      <c r="I8" s="21">
        <f t="shared" si="0"/>
        <v>10.1759</v>
      </c>
    </row>
    <row r="9" spans="2:9" x14ac:dyDescent="0.25">
      <c r="B9" s="8">
        <v>1</v>
      </c>
      <c r="C9" s="9">
        <f>rigidezze!B51</f>
        <v>669.45999999999992</v>
      </c>
      <c r="D9" s="8">
        <f>rigidezze!C51</f>
        <v>764.09999999999991</v>
      </c>
      <c r="E9" s="21">
        <f>'bilanc.rigid piano interrato'!O78</f>
        <v>14.52084337157787</v>
      </c>
      <c r="F9" s="61">
        <f>'bilanc.rigid piano interrato'!N4</f>
        <v>12.309637518298331</v>
      </c>
      <c r="G9" s="61">
        <f>'bilanc.rigid piano interrato'!Q78</f>
        <v>15.0975</v>
      </c>
      <c r="H9" s="109">
        <f>'bilanc.rigid piano interrato'!P4</f>
        <v>11.9132</v>
      </c>
      <c r="I9" s="9">
        <v>9.73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9" zoomScale="92" zoomScaleNormal="92" workbookViewId="0">
      <selection activeCell="E20" sqref="E20"/>
    </sheetView>
  </sheetViews>
  <sheetFormatPr defaultRowHeight="15" x14ac:dyDescent="0.25"/>
  <cols>
    <col min="1" max="1" width="14" customWidth="1"/>
    <col min="2" max="2" width="17.28515625" customWidth="1"/>
    <col min="3" max="3" width="20.42578125" customWidth="1"/>
    <col min="4" max="4" width="19" customWidth="1"/>
    <col min="5" max="5" width="13.42578125" customWidth="1"/>
  </cols>
  <sheetData>
    <row r="1" spans="1:5" x14ac:dyDescent="0.25">
      <c r="A1" s="62" t="s">
        <v>0</v>
      </c>
      <c r="B1" s="2" t="s">
        <v>186</v>
      </c>
      <c r="C1" s="2" t="s">
        <v>189</v>
      </c>
      <c r="D1" s="2" t="s">
        <v>188</v>
      </c>
      <c r="E1" s="2" t="s">
        <v>1</v>
      </c>
    </row>
    <row r="2" spans="1:5" x14ac:dyDescent="0.25">
      <c r="A2" s="62" t="s">
        <v>2</v>
      </c>
      <c r="B2" s="62">
        <v>502.5</v>
      </c>
      <c r="C2" s="63">
        <f>'masse e forze'!C2</f>
        <v>8.9696514427860716</v>
      </c>
      <c r="D2" s="63">
        <f>B2*C2</f>
        <v>4507.2498500000011</v>
      </c>
      <c r="E2" s="63">
        <f>D2/9.81</f>
        <v>459.45462283384308</v>
      </c>
    </row>
    <row r="3" spans="1:5" x14ac:dyDescent="0.25">
      <c r="A3" s="62">
        <v>5</v>
      </c>
      <c r="B3" s="62">
        <v>575.1</v>
      </c>
      <c r="C3" s="63">
        <f>'masse e forze'!C3</f>
        <v>10.377264823508956</v>
      </c>
      <c r="D3" s="63">
        <f t="shared" ref="D3:D7" si="0">B3*C3</f>
        <v>5967.9650000000001</v>
      </c>
      <c r="E3" s="63">
        <f t="shared" ref="E3:E8" si="1">D3/9.81</f>
        <v>608.35524974515795</v>
      </c>
    </row>
    <row r="4" spans="1:5" x14ac:dyDescent="0.25">
      <c r="A4" s="62">
        <v>4</v>
      </c>
      <c r="B4" s="62">
        <v>575.1</v>
      </c>
      <c r="C4" s="63">
        <f>'masse e forze'!C4</f>
        <v>10.377264823508956</v>
      </c>
      <c r="D4" s="63">
        <f t="shared" si="0"/>
        <v>5967.9650000000001</v>
      </c>
      <c r="E4" s="63">
        <f t="shared" si="1"/>
        <v>608.35524974515795</v>
      </c>
    </row>
    <row r="5" spans="1:5" x14ac:dyDescent="0.25">
      <c r="A5" s="62">
        <v>3</v>
      </c>
      <c r="B5" s="62">
        <v>575.1</v>
      </c>
      <c r="C5" s="63">
        <f>'masse e forze'!C5</f>
        <v>10.377264823508956</v>
      </c>
      <c r="D5" s="63">
        <f t="shared" si="0"/>
        <v>5967.9650000000001</v>
      </c>
      <c r="E5" s="63">
        <f t="shared" si="1"/>
        <v>608.35524974515795</v>
      </c>
    </row>
    <row r="6" spans="1:5" x14ac:dyDescent="0.25">
      <c r="A6" s="62">
        <v>2</v>
      </c>
      <c r="B6" s="62">
        <v>575.1</v>
      </c>
      <c r="C6" s="63">
        <f>'masse e forze'!C6</f>
        <v>10.377264823508956</v>
      </c>
      <c r="D6" s="63">
        <f t="shared" si="0"/>
        <v>5967.9650000000001</v>
      </c>
      <c r="E6" s="63">
        <f t="shared" si="1"/>
        <v>608.35524974515795</v>
      </c>
    </row>
    <row r="7" spans="1:5" x14ac:dyDescent="0.25">
      <c r="A7" s="62">
        <v>1</v>
      </c>
      <c r="B7" s="62">
        <v>472.3</v>
      </c>
      <c r="C7" s="63">
        <f>'masse e forze'!C7</f>
        <v>11.214653821723482</v>
      </c>
      <c r="D7" s="63">
        <f t="shared" si="0"/>
        <v>5296.6810000000005</v>
      </c>
      <c r="E7" s="63">
        <f t="shared" si="1"/>
        <v>539.92670744138638</v>
      </c>
    </row>
    <row r="8" spans="1:5" x14ac:dyDescent="0.25">
      <c r="A8" s="62" t="s">
        <v>3</v>
      </c>
      <c r="B8" s="64"/>
      <c r="C8" s="64"/>
      <c r="D8" s="63">
        <f>SUM(D2:D7)</f>
        <v>33675.790850000005</v>
      </c>
      <c r="E8" s="63">
        <f t="shared" si="1"/>
        <v>3432.8023292558619</v>
      </c>
    </row>
    <row r="11" spans="1:5" x14ac:dyDescent="0.25">
      <c r="A11" s="2" t="s">
        <v>4</v>
      </c>
      <c r="B11" s="2">
        <v>7.4999999999999997E-2</v>
      </c>
    </row>
    <row r="12" spans="1:5" x14ac:dyDescent="0.25">
      <c r="A12" s="2" t="s">
        <v>5</v>
      </c>
      <c r="B12" s="2">
        <v>20</v>
      </c>
    </row>
    <row r="13" spans="1:5" x14ac:dyDescent="0.25">
      <c r="A13" s="2" t="s">
        <v>6</v>
      </c>
      <c r="B13" s="3">
        <f>rigidezze!G64</f>
        <v>0.91479623971647506</v>
      </c>
    </row>
    <row r="14" spans="1:5" x14ac:dyDescent="0.25">
      <c r="A14" s="2" t="s">
        <v>7</v>
      </c>
      <c r="B14" s="2">
        <v>6.5000000000000002E-2</v>
      </c>
      <c r="C14" t="s">
        <v>91</v>
      </c>
    </row>
    <row r="15" spans="1:5" x14ac:dyDescent="0.25">
      <c r="A15" s="2" t="s">
        <v>8</v>
      </c>
      <c r="B15" s="4">
        <f>0.85*D8*B14</f>
        <v>1860.5874444625003</v>
      </c>
    </row>
    <row r="16" spans="1:5" x14ac:dyDescent="0.25">
      <c r="A16" s="1"/>
    </row>
    <row r="19" spans="1:6" x14ac:dyDescent="0.25">
      <c r="A19" s="65" t="s">
        <v>0</v>
      </c>
      <c r="B19" s="65" t="s">
        <v>190</v>
      </c>
      <c r="C19" s="65" t="s">
        <v>187</v>
      </c>
      <c r="D19" s="65" t="s">
        <v>191</v>
      </c>
      <c r="E19" s="65" t="s">
        <v>211</v>
      </c>
      <c r="F19" s="65" t="s">
        <v>193</v>
      </c>
    </row>
    <row r="20" spans="1:6" x14ac:dyDescent="0.25">
      <c r="A20" s="65" t="s">
        <v>10</v>
      </c>
      <c r="B20" s="67">
        <f t="shared" ref="B20:B25" si="2">D2</f>
        <v>4507.2498500000011</v>
      </c>
      <c r="C20" s="65">
        <f>C21+3.3</f>
        <v>20</v>
      </c>
      <c r="D20" s="66">
        <f>B20*C20</f>
        <v>90144.997000000018</v>
      </c>
      <c r="E20" s="67">
        <f>D20/$D$26*$B$15</f>
        <v>430.96671340621896</v>
      </c>
      <c r="F20" s="68">
        <f>E20</f>
        <v>430.96671340621896</v>
      </c>
    </row>
    <row r="21" spans="1:6" x14ac:dyDescent="0.25">
      <c r="A21" s="65">
        <v>5</v>
      </c>
      <c r="B21" s="68">
        <f t="shared" si="2"/>
        <v>5967.9650000000001</v>
      </c>
      <c r="C21" s="65">
        <f>C22+3.3</f>
        <v>16.7</v>
      </c>
      <c r="D21" s="66">
        <f t="shared" ref="D21:D25" si="3">B21*C21</f>
        <v>99665.015499999994</v>
      </c>
      <c r="E21" s="68">
        <f>D21/$D$26*$B$15</f>
        <v>476.48017750352648</v>
      </c>
      <c r="F21" s="68">
        <f>F20+E21</f>
        <v>907.44689090974543</v>
      </c>
    </row>
    <row r="22" spans="1:6" x14ac:dyDescent="0.25">
      <c r="A22" s="65">
        <v>4</v>
      </c>
      <c r="B22" s="68">
        <f t="shared" si="2"/>
        <v>5967.9650000000001</v>
      </c>
      <c r="C22" s="65">
        <f>C23+3.3</f>
        <v>13.399999999999999</v>
      </c>
      <c r="D22" s="66">
        <f t="shared" si="3"/>
        <v>79970.731</v>
      </c>
      <c r="E22" s="68">
        <f t="shared" ref="E22:E25" si="4">D22/$D$26*$B$15</f>
        <v>382.32541188905719</v>
      </c>
      <c r="F22" s="68">
        <f>F21+E22</f>
        <v>1289.7723027988027</v>
      </c>
    </row>
    <row r="23" spans="1:6" x14ac:dyDescent="0.25">
      <c r="A23" s="65">
        <v>3</v>
      </c>
      <c r="B23" s="68">
        <f t="shared" si="2"/>
        <v>5967.9650000000001</v>
      </c>
      <c r="C23" s="65">
        <f>C24+3.3</f>
        <v>10.1</v>
      </c>
      <c r="D23" s="66">
        <f t="shared" si="3"/>
        <v>60276.446499999998</v>
      </c>
      <c r="E23" s="68">
        <f t="shared" si="4"/>
        <v>288.17064627458785</v>
      </c>
      <c r="F23" s="68">
        <f>F22+E23</f>
        <v>1577.9429490733905</v>
      </c>
    </row>
    <row r="24" spans="1:6" x14ac:dyDescent="0.25">
      <c r="A24" s="65">
        <v>2</v>
      </c>
      <c r="B24" s="68">
        <f t="shared" si="2"/>
        <v>5967.9650000000001</v>
      </c>
      <c r="C24" s="65">
        <f>C25+3.3</f>
        <v>6.8</v>
      </c>
      <c r="D24" s="66">
        <f t="shared" si="3"/>
        <v>40582.161999999997</v>
      </c>
      <c r="E24" s="68">
        <f t="shared" si="4"/>
        <v>194.01588066011857</v>
      </c>
      <c r="F24" s="68">
        <f>F23+E24</f>
        <v>1771.958829733509</v>
      </c>
    </row>
    <row r="25" spans="1:6" x14ac:dyDescent="0.25">
      <c r="A25" s="65">
        <v>1</v>
      </c>
      <c r="B25" s="68">
        <f t="shared" si="2"/>
        <v>5296.6810000000005</v>
      </c>
      <c r="C25" s="65">
        <v>3.5</v>
      </c>
      <c r="D25" s="66">
        <f t="shared" si="3"/>
        <v>18538.383500000004</v>
      </c>
      <c r="E25" s="68">
        <f t="shared" si="4"/>
        <v>88.628614728991309</v>
      </c>
      <c r="F25" s="68">
        <f>F24+E25</f>
        <v>1860.5874444625003</v>
      </c>
    </row>
    <row r="26" spans="1:6" x14ac:dyDescent="0.25">
      <c r="A26" s="65" t="s">
        <v>11</v>
      </c>
      <c r="B26" s="69"/>
      <c r="C26" s="69"/>
      <c r="D26" s="66">
        <f>SUM(D20:D25)</f>
        <v>389177.73550000001</v>
      </c>
      <c r="E26" s="69"/>
      <c r="F26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carichi unitari</vt:lpstr>
      <vt:lpstr>masse e forze</vt:lpstr>
      <vt:lpstr>car.sollecitazione</vt:lpstr>
      <vt:lpstr>rigidezze</vt:lpstr>
      <vt:lpstr>bilanc.rigidezze I</vt:lpstr>
      <vt:lpstr>bilanc.rigid piano interrato</vt:lpstr>
      <vt:lpstr>bilanci rigi IV impalcato</vt:lpstr>
      <vt:lpstr>Centro di rigidezza</vt:lpstr>
      <vt:lpstr>masse e forze direzione x</vt:lpstr>
      <vt:lpstr>car.sollecitazione  direzione x</vt:lpstr>
      <vt:lpstr>masse e forze direzione y</vt:lpstr>
      <vt:lpstr>car.sollecitazione direzione y</vt:lpstr>
      <vt:lpstr>Confronti</vt:lpstr>
      <vt:lpstr>Confronti rigidezze telai x</vt:lpstr>
      <vt:lpstr>Confronto rigidezze telai y</vt:lpstr>
      <vt:lpstr>carichi unitari 2</vt:lpstr>
      <vt:lpstr>masse precise</vt:lpstr>
      <vt:lpstr>carichi su travi 1 impalcato</vt:lpstr>
      <vt:lpstr>Riepilogo carichi primo impalca</vt:lpstr>
      <vt:lpstr>  carichi piano tipo</vt:lpstr>
      <vt:lpstr>Riepilogo carichi primo </vt:lpstr>
      <vt:lpstr>carichi su travi utimo</vt:lpstr>
      <vt:lpstr>Riepilogo carichi tetto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Purrazzo</dc:creator>
  <cp:lastModifiedBy>Purrazzo</cp:lastModifiedBy>
  <dcterms:created xsi:type="dcterms:W3CDTF">2016-11-13T15:37:02Z</dcterms:created>
  <dcterms:modified xsi:type="dcterms:W3CDTF">2017-03-13T07:48:19Z</dcterms:modified>
</cp:coreProperties>
</file>